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D:\IGGYSeven\TRPG\DND5E\冒险者\"/>
    </mc:Choice>
  </mc:AlternateContent>
  <xr:revisionPtr revIDLastSave="0" documentId="13_ncr:1_{B3DB7E9E-A03B-4880-860A-FD167C6FE74B}" xr6:coauthVersionLast="47" xr6:coauthVersionMax="47" xr10:uidLastSave="{00000000-0000-0000-0000-000000000000}"/>
  <bookViews>
    <workbookView xWindow="1020" yWindow="396" windowWidth="20928" windowHeight="12096" tabRatio="740" activeTab="1" xr2:uid="{00000000-000D-0000-FFFF-FFFF00000000}"/>
  </bookViews>
  <sheets>
    <sheet name="背景" sheetId="17" r:id="rId1"/>
    <sheet name="主要" sheetId="2" r:id="rId2"/>
    <sheet name="数据表" sheetId="10" state="hidden" r:id="rId3"/>
    <sheet name="职业" sheetId="18" state="hidden" r:id="rId4"/>
    <sheet name="装备" sheetId="16" state="hidden" r:id="rId5"/>
    <sheet name="种族" sheetId="27" state="hidden" r:id="rId6"/>
    <sheet name="背景数据" sheetId="26" state="hidden" r:id="rId7"/>
    <sheet name="魔宠" sheetId="32" state="hidden" r:id="rId8"/>
    <sheet name="背包" sheetId="3" r:id="rId9"/>
    <sheet name="盟友与魔宠" sheetId="29" r:id="rId10"/>
    <sheet name="据点" sheetId="30" r:id="rId11"/>
    <sheet name="法术书" sheetId="8" r:id="rId12"/>
    <sheet name="法术大全" sheetId="24" r:id="rId13"/>
    <sheet name="额外法术" sheetId="4" r:id="rId14"/>
    <sheet name="圆形效应范围" sheetId="31" state="hidden" r:id="rId15"/>
    <sheet name="导入" sheetId="28" r:id="rId16"/>
    <sheet name="更新" sheetId="25" r:id="rId17"/>
  </sheets>
  <externalReferences>
    <externalReference r:id="rId18"/>
    <externalReference r:id="rId19"/>
    <externalReference r:id="rId20"/>
  </externalReferences>
  <definedNames>
    <definedName name="_xlnm._FilterDatabase" localSheetId="12" hidden="1">法术大全!$A$2:$X$574</definedName>
    <definedName name="DEX">[1]主要情况!$G$10</definedName>
    <definedName name="_xlnm.Print_Area" localSheetId="1">主要!$A$1:$AU$126</definedName>
    <definedName name="STR">[1]主要情况!$G$8</definedName>
    <definedName name="阿兰寇拉" localSheetId="10">[2]数据表!#REF!</definedName>
    <definedName name="阿兰寇拉" localSheetId="9">[2]数据表!#REF!</definedName>
    <definedName name="阿兰寇拉" localSheetId="14">[3]数据表!#REF!</definedName>
    <definedName name="阿兰寇拉">数据表!#REF!</definedName>
    <definedName name="阿斯莫" localSheetId="10">[2]数据表!#REF!</definedName>
    <definedName name="阿斯莫" localSheetId="9">[2]数据表!#REF!</definedName>
    <definedName name="阿斯莫" localSheetId="14">[3]数据表!#REF!</definedName>
    <definedName name="阿斯莫">数据表!#REF!</definedName>
    <definedName name="矮人" localSheetId="10">[2]数据表!#REF!</definedName>
    <definedName name="矮人" localSheetId="9">[2]数据表!#REF!</definedName>
    <definedName name="矮人" localSheetId="14">[3]数据表!#REF!</definedName>
    <definedName name="矮人">数据表!#REF!</definedName>
    <definedName name="斑猫人" localSheetId="10">[2]数据表!#REF!</definedName>
    <definedName name="斑猫人" localSheetId="9">[2]数据表!#REF!</definedName>
    <definedName name="斑猫人" localSheetId="14">[3]数据表!#REF!</definedName>
    <definedName name="斑猫人">数据表!#REF!</definedName>
    <definedName name="半精灵" localSheetId="10">[2]数据表!#REF!</definedName>
    <definedName name="半精灵" localSheetId="9">[2]数据表!#REF!</definedName>
    <definedName name="半精灵" localSheetId="14">[3]数据表!#REF!</definedName>
    <definedName name="半精灵">数据表!#REF!</definedName>
    <definedName name="半人马" localSheetId="10">[2]数据表!#REF!</definedName>
    <definedName name="半人马" localSheetId="9">[2]数据表!#REF!</definedName>
    <definedName name="半人马" localSheetId="14">[3]数据表!#REF!</definedName>
    <definedName name="半人马">数据表!#REF!</definedName>
    <definedName name="半身人" localSheetId="10">[2]数据表!#REF!</definedName>
    <definedName name="半身人" localSheetId="9">[2]数据表!#REF!</definedName>
    <definedName name="半身人" localSheetId="14">[3]数据表!#REF!</definedName>
    <definedName name="半身人">数据表!#REF!</definedName>
    <definedName name="半兽人" localSheetId="10">[2]数据表!#REF!</definedName>
    <definedName name="半兽人" localSheetId="9">[2]数据表!#REF!</definedName>
    <definedName name="半兽人" localSheetId="14">[3]数据表!#REF!</definedName>
    <definedName name="半兽人">数据表!#REF!</definedName>
    <definedName name="匕首">装备!$O$5</definedName>
    <definedName name="匕首伤害" localSheetId="10">[2]装备!#REF!</definedName>
    <definedName name="匕首伤害" localSheetId="9">[2]装备!#REF!</definedName>
    <definedName name="匕首伤害" localSheetId="14">[3]装备!#REF!</definedName>
    <definedName name="匕首伤害">装备!#REF!</definedName>
    <definedName name="鞭">装备!$O$35</definedName>
    <definedName name="鞭伤害" localSheetId="10">[2]装备!#REF!</definedName>
    <definedName name="鞭伤害" localSheetId="9">[2]装备!#REF!</definedName>
    <definedName name="鞭伤害" localSheetId="14">[3]装备!#REF!</definedName>
    <definedName name="鞭伤害">装备!#REF!</definedName>
    <definedName name="标枪">装备!$O$8</definedName>
    <definedName name="标枪伤害" localSheetId="10">[2]装备!#REF!</definedName>
    <definedName name="标枪伤害" localSheetId="9">[2]装备!#REF!</definedName>
    <definedName name="标枪伤害" localSheetId="14">[3]装备!#REF!</definedName>
    <definedName name="标枪伤害">装备!#REF!</definedName>
    <definedName name="捕网">装备!$O$40</definedName>
    <definedName name="捕网伤害" localSheetId="10">[2]装备!#REF!</definedName>
    <definedName name="捕网伤害" localSheetId="9">[2]装备!#REF!</definedName>
    <definedName name="捕网伤害" localSheetId="14">[3]装备!#REF!</definedName>
    <definedName name="捕网伤害">装备!#REF!</definedName>
    <definedName name="吹箭筒">装备!$O$36</definedName>
    <definedName name="吹箭筒伤害" localSheetId="10">[2]装备!#REF!</definedName>
    <definedName name="吹箭筒伤害" localSheetId="9">[2]装备!#REF!</definedName>
    <definedName name="吹箭筒伤害" localSheetId="14">[3]装备!#REF!</definedName>
    <definedName name="吹箭筒伤害">装备!#REF!</definedName>
    <definedName name="纯种蛇人" localSheetId="10">[2]数据表!#REF!</definedName>
    <definedName name="纯种蛇人" localSheetId="9">[2]数据表!#REF!</definedName>
    <definedName name="纯种蛇人" localSheetId="14">[3]数据表!#REF!</definedName>
    <definedName name="纯种蛇人">数据表!#REF!</definedName>
    <definedName name="刺剑">装备!$O$29</definedName>
    <definedName name="刺剑伤害" localSheetId="10">[2]装备!#REF!</definedName>
    <definedName name="刺剑伤害" localSheetId="9">[2]装备!#REF!</definedName>
    <definedName name="刺剑伤害" localSheetId="14">[3]装备!#REF!</definedName>
    <definedName name="刺剑伤害">装备!#REF!</definedName>
    <definedName name="地精" localSheetId="10">[2]数据表!#REF!</definedName>
    <definedName name="地精" localSheetId="9">[2]数据表!#REF!</definedName>
    <definedName name="地精" localSheetId="14">[3]数据表!#REF!</definedName>
    <definedName name="地精">数据表!#REF!</definedName>
    <definedName name="钉头锤">装备!$O$27</definedName>
    <definedName name="钉头锤伤害" localSheetId="10">[2]装备!#REF!</definedName>
    <definedName name="钉头锤伤害" localSheetId="9">[2]装备!#REF!</definedName>
    <definedName name="钉头锤伤害" localSheetId="14">[3]装备!#REF!</definedName>
    <definedName name="钉头锤伤害">装备!#REF!</definedName>
    <definedName name="短棒">装备!$O$4</definedName>
    <definedName name="短棒伤害" localSheetId="10">[2]装备!#REF!</definedName>
    <definedName name="短棒伤害" localSheetId="9">[2]装备!#REF!</definedName>
    <definedName name="短棒伤害" localSheetId="14">[3]装备!#REF!</definedName>
    <definedName name="短棒伤害">装备!#REF!</definedName>
    <definedName name="短弓">装备!$O$16</definedName>
    <definedName name="短弓伤害" localSheetId="10">[2]装备!#REF!</definedName>
    <definedName name="短弓伤害" localSheetId="9">[2]装备!#REF!</definedName>
    <definedName name="短弓伤害" localSheetId="14">[3]装备!#REF!</definedName>
    <definedName name="短弓伤害">装备!#REF!</definedName>
    <definedName name="短剑">装备!$O$31</definedName>
    <definedName name="短剑伤害" localSheetId="10">[2]装备!#REF!</definedName>
    <definedName name="短剑伤害" localSheetId="9">[2]装备!#REF!</definedName>
    <definedName name="短剑伤害" localSheetId="14">[3]装备!#REF!</definedName>
    <definedName name="短剑伤害">装备!#REF!</definedName>
    <definedName name="飞镖">装备!$O$15</definedName>
    <definedName name="飞镖伤害" localSheetId="10">[2]装备!#REF!</definedName>
    <definedName name="飞镖伤害" localSheetId="9">[2]装备!#REF!</definedName>
    <definedName name="飞镖伤害" localSheetId="14">[3]装备!#REF!</definedName>
    <definedName name="飞镖伤害">装备!#REF!</definedName>
    <definedName name="费尔伯格人" localSheetId="10">[2]数据表!#REF!</definedName>
    <definedName name="费尔伯格人" localSheetId="9">[2]数据表!#REF!</definedName>
    <definedName name="费尔伯格人" localSheetId="14">[3]数据表!#REF!</definedName>
    <definedName name="费尔伯格人">数据表!#REF!</definedName>
    <definedName name="歌利亚" localSheetId="10">[2]数据表!#REF!</definedName>
    <definedName name="歌利亚" localSheetId="9">[2]数据表!#REF!</definedName>
    <definedName name="歌利亚" localSheetId="14">[3]数据表!#REF!</definedName>
    <definedName name="歌利亚">数据表!#REF!</definedName>
    <definedName name="狗头人" localSheetId="10">[2]数据表!#REF!</definedName>
    <definedName name="狗头人" localSheetId="9">[2]数据表!#REF!</definedName>
    <definedName name="狗头人" localSheetId="14">[3]数据表!#REF!</definedName>
    <definedName name="狗头人">数据表!#REF!</definedName>
    <definedName name="化兽者" localSheetId="10">[2]数据表!#REF!</definedName>
    <definedName name="化兽者" localSheetId="9">[2]数据表!#REF!</definedName>
    <definedName name="化兽者" localSheetId="14">[3]数据表!#REF!</definedName>
    <definedName name="化兽者">数据表!#REF!</definedName>
    <definedName name="幻身灵" localSheetId="10">[2]数据表!#REF!</definedName>
    <definedName name="幻身灵" localSheetId="9">[2]数据表!#REF!</definedName>
    <definedName name="幻身灵" localSheetId="14">[3]数据表!#REF!</definedName>
    <definedName name="幻身灵">数据表!#REF!</definedName>
    <definedName name="吉斯人" localSheetId="10">[2]数据表!#REF!</definedName>
    <definedName name="吉斯人" localSheetId="9">[2]数据表!#REF!</definedName>
    <definedName name="吉斯人" localSheetId="14">[3]数据表!#REF!</definedName>
    <definedName name="吉斯人">数据表!#REF!</definedName>
    <definedName name="戟">装备!$O$23</definedName>
    <definedName name="戟伤害" localSheetId="10">[2]装备!#REF!</definedName>
    <definedName name="戟伤害" localSheetId="9">[2]装备!#REF!</definedName>
    <definedName name="戟伤害" localSheetId="14">[3]装备!#REF!</definedName>
    <definedName name="戟伤害">装备!#REF!</definedName>
    <definedName name="精灵" localSheetId="10">[2]数据表!#REF!</definedName>
    <definedName name="精灵" localSheetId="9">[2]数据表!#REF!</definedName>
    <definedName name="精灵" localSheetId="14">[3]数据表!#REF!</definedName>
    <definedName name="精灵">数据表!#REF!</definedName>
    <definedName name="巨棒">装备!$O$6</definedName>
    <definedName name="巨棒伤害" localSheetId="10">[2]装备!#REF!</definedName>
    <definedName name="巨棒伤害" localSheetId="9">[2]装备!#REF!</definedName>
    <definedName name="巨棒伤害" localSheetId="14">[3]装备!#REF!</definedName>
    <definedName name="巨棒伤害">装备!#REF!</definedName>
    <definedName name="巨锤">装备!$O$26</definedName>
    <definedName name="巨锤伤害" localSheetId="10">[2]装备!#REF!</definedName>
    <definedName name="巨锤伤害" localSheetId="9">[2]装备!#REF!</definedName>
    <definedName name="巨锤伤害" localSheetId="14">[3]装备!#REF!</definedName>
    <definedName name="巨锤伤害">装备!#REF!</definedName>
    <definedName name="巨斧">装备!$O$21</definedName>
    <definedName name="巨斧伤害" localSheetId="10">[2]装备!#REF!</definedName>
    <definedName name="巨斧伤害" localSheetId="9">[2]装备!#REF!</definedName>
    <definedName name="巨斧伤害" localSheetId="14">[3]装备!#REF!</definedName>
    <definedName name="巨斧伤害">装备!#REF!</definedName>
    <definedName name="巨剑">装备!$O$22</definedName>
    <definedName name="巨剑伤害" localSheetId="10">[2]装备!#REF!</definedName>
    <definedName name="巨剑伤害" localSheetId="9">[2]装备!#REF!</definedName>
    <definedName name="巨剑伤害" localSheetId="14">[3]装备!#REF!</definedName>
    <definedName name="巨剑伤害">装备!#REF!</definedName>
    <definedName name="离梦人" localSheetId="10">[2]数据表!#REF!</definedName>
    <definedName name="离梦人" localSheetId="9">[2]数据表!#REF!</definedName>
    <definedName name="离梦人" localSheetId="14">[3]数据表!#REF!</definedName>
    <definedName name="离梦人">数据表!#REF!</definedName>
    <definedName name="镰刀">装备!$O$12</definedName>
    <definedName name="镰刀伤害" localSheetId="10">[2]装备!#REF!</definedName>
    <definedName name="镰刀伤害" localSheetId="9">[2]装备!#REF!</definedName>
    <definedName name="镰刀伤害" localSheetId="14">[3]装备!#REF!</definedName>
    <definedName name="镰刀伤害">装备!#REF!</definedName>
    <definedName name="链枷">装备!$O$19</definedName>
    <definedName name="链枷伤害" localSheetId="10">[2]装备!#REF!</definedName>
    <definedName name="链枷伤害" localSheetId="9">[2]装备!#REF!</definedName>
    <definedName name="链枷伤害" localSheetId="14">[3]装备!#REF!</definedName>
    <definedName name="链枷伤害">装备!#REF!</definedName>
    <definedName name="龙裔" localSheetId="10">[2]数据表!#REF!</definedName>
    <definedName name="龙裔" localSheetId="9">[2]数据表!#REF!</definedName>
    <definedName name="龙裔" localSheetId="14">[3]数据表!#REF!</definedName>
    <definedName name="龙裔">数据表!#REF!</definedName>
    <definedName name="矛">装备!$O$13</definedName>
    <definedName name="矛伤害" localSheetId="10">[2]装备!#REF!</definedName>
    <definedName name="矛伤害" localSheetId="9">[2]装备!#REF!</definedName>
    <definedName name="矛伤害" localSheetId="14">[3]装备!#REF!</definedName>
    <definedName name="矛伤害">装备!#REF!</definedName>
    <definedName name="牛头人" localSheetId="10">[2]数据表!#REF!</definedName>
    <definedName name="牛头人" localSheetId="9">[2]数据表!#REF!</definedName>
    <definedName name="牛头人" localSheetId="14">[3]数据表!#REF!</definedName>
    <definedName name="牛头人">数据表!#REF!</definedName>
    <definedName name="骑枪">装备!$O$24</definedName>
    <definedName name="骑枪伤害" localSheetId="10">[2]装备!#REF!</definedName>
    <definedName name="骑枪伤害" localSheetId="9">[2]装备!#REF!</definedName>
    <definedName name="骑枪伤害" localSheetId="14">[3]装备!#REF!</definedName>
    <definedName name="骑枪伤害">装备!#REF!</definedName>
    <definedName name="轻锤">装备!$O$9</definedName>
    <definedName name="轻锤伤害" localSheetId="10">[2]装备!#REF!</definedName>
    <definedName name="轻锤伤害" localSheetId="9">[2]装备!#REF!</definedName>
    <definedName name="轻锤伤害" localSheetId="14">[3]装备!#REF!</definedName>
    <definedName name="轻锤伤害">装备!#REF!</definedName>
    <definedName name="轻弩">装备!$O$14</definedName>
    <definedName name="轻弩伤害" localSheetId="10">[2]装备!#REF!</definedName>
    <definedName name="轻弩伤害" localSheetId="9">[2]装备!#REF!</definedName>
    <definedName name="轻弩伤害" localSheetId="14">[3]装备!#REF!</definedName>
    <definedName name="轻弩伤害">装备!#REF!</definedName>
    <definedName name="轻型" localSheetId="10">[2]装备!#REF!</definedName>
    <definedName name="轻型" localSheetId="9">[2]装备!#REF!</definedName>
    <definedName name="轻型" localSheetId="14">[3]装备!#REF!</definedName>
    <definedName name="轻型">装备!$J$33:$J$35</definedName>
    <definedName name="人类" localSheetId="10">[2]数据表!#REF!</definedName>
    <definedName name="人类" localSheetId="9">[2]数据表!#REF!</definedName>
    <definedName name="人类" localSheetId="14">[3]数据表!#REF!</definedName>
    <definedName name="人类">数据表!#REF!</definedName>
    <definedName name="三叉戟">装备!$O$32</definedName>
    <definedName name="三叉戟伤害" localSheetId="10">[2]装备!#REF!</definedName>
    <definedName name="三叉戟伤害" localSheetId="9">[2]装备!#REF!</definedName>
    <definedName name="三叉戟伤害" localSheetId="14">[3]装备!#REF!</definedName>
    <definedName name="三叉戟伤害">装备!#REF!</definedName>
    <definedName name="手斧">装备!$O$7</definedName>
    <definedName name="手斧伤害" localSheetId="10">[2]装备!#REF!</definedName>
    <definedName name="手斧伤害" localSheetId="9">[2]装备!#REF!</definedName>
    <definedName name="手斧伤害" localSheetId="14">[3]装备!#REF!</definedName>
    <definedName name="手斧伤害">装备!#REF!</definedName>
    <definedName name="手弩">装备!$O$37</definedName>
    <definedName name="手弩伤害" localSheetId="10">[2]装备!#REF!</definedName>
    <definedName name="手弩伤害" localSheetId="9">[2]装备!#REF!</definedName>
    <definedName name="手弩伤害" localSheetId="14">[3]装备!#REF!</definedName>
    <definedName name="手弩伤害">装备!#REF!</definedName>
    <definedName name="兽人" localSheetId="10">[2]数据表!#REF!</definedName>
    <definedName name="兽人" localSheetId="9">[2]数据表!#REF!</definedName>
    <definedName name="兽人" localSheetId="14">[3]数据表!#REF!</definedName>
    <definedName name="兽人">数据表!#REF!</definedName>
    <definedName name="梭螺鱼人" localSheetId="10">[2]数据表!#REF!</definedName>
    <definedName name="梭螺鱼人" localSheetId="9">[2]数据表!#REF!</definedName>
    <definedName name="梭螺鱼人" localSheetId="14">[3]数据表!#REF!</definedName>
    <definedName name="梭螺鱼人">数据表!#REF!</definedName>
    <definedName name="提夫林" localSheetId="10">[2]数据表!#REF!</definedName>
    <definedName name="提夫林" localSheetId="9">[2]数据表!#REF!</definedName>
    <definedName name="提夫林" localSheetId="14">[3]数据表!#REF!</definedName>
    <definedName name="提夫林">数据表!#REF!</definedName>
    <definedName name="天狗" localSheetId="10">[2]数据表!#REF!</definedName>
    <definedName name="天狗" localSheetId="9">[2]数据表!#REF!</definedName>
    <definedName name="天狗" localSheetId="14">[3]数据表!#REF!</definedName>
    <definedName name="天狗">数据表!#REF!</definedName>
    <definedName name="投石索">装备!$O$17</definedName>
    <definedName name="投石索伤害" localSheetId="10">[2]装备!#REF!</definedName>
    <definedName name="投石索伤害" localSheetId="9">[2]装备!#REF!</definedName>
    <definedName name="投石索伤害" localSheetId="14">[3]装备!#REF!</definedName>
    <definedName name="投石索伤害">装备!#REF!</definedName>
    <definedName name="弯刀">装备!$O$30</definedName>
    <definedName name="弯刀伤害" localSheetId="10">[2]装备!#REF!</definedName>
    <definedName name="弯刀伤害" localSheetId="9">[2]装备!#REF!</definedName>
    <definedName name="弯刀伤害" localSheetId="14">[3]装备!#REF!</definedName>
    <definedName name="弯刀伤害">装备!#REF!</definedName>
    <definedName name="维多肯" localSheetId="10">[2]数据表!#REF!</definedName>
    <definedName name="维多肯" localSheetId="9">[2]数据表!#REF!</definedName>
    <definedName name="维多肯" localSheetId="14">[3]数据表!#REF!</definedName>
    <definedName name="维多肯">数据表!#REF!</definedName>
    <definedName name="析米克杂种" localSheetId="10">[2]数据表!#REF!</definedName>
    <definedName name="析米克杂种" localSheetId="9">[2]数据表!#REF!</definedName>
    <definedName name="析米克杂种" localSheetId="14">[3]数据表!#REF!</definedName>
    <definedName name="析米克杂种">数据表!#REF!</definedName>
    <definedName name="蜥蜴人" localSheetId="10">[2]数据表!#REF!</definedName>
    <definedName name="蜥蜴人" localSheetId="9">[2]数据表!#REF!</definedName>
    <definedName name="蜥蜴人" localSheetId="14">[3]数据表!#REF!</definedName>
    <definedName name="蜥蜴人">数据表!#REF!</definedName>
    <definedName name="象族" localSheetId="10">[2]数据表!#REF!</definedName>
    <definedName name="象族" localSheetId="9">[2]数据表!#REF!</definedName>
    <definedName name="象族" localSheetId="14">[3]数据表!#REF!</definedName>
    <definedName name="象族">数据表!#REF!</definedName>
    <definedName name="硬头锤">装备!$O$10</definedName>
    <definedName name="硬头锤伤害" localSheetId="10">[2]装备!#REF!</definedName>
    <definedName name="硬头锤伤害" localSheetId="9">[2]装备!#REF!</definedName>
    <definedName name="硬头锤伤害" localSheetId="14">[3]装备!#REF!</definedName>
    <definedName name="硬头锤伤害">装备!#REF!</definedName>
    <definedName name="元素裔" localSheetId="10">[2]数据表!#REF!</definedName>
    <definedName name="元素裔" localSheetId="9">[2]数据表!#REF!</definedName>
    <definedName name="元素裔" localSheetId="14">[3]数据表!#REF!</definedName>
    <definedName name="元素裔">数据表!#REF!</definedName>
    <definedName name="战锤">装备!$O$34</definedName>
    <definedName name="战锤伤害" localSheetId="10">[2]装备!#REF!</definedName>
    <definedName name="战锤伤害" localSheetId="9">[2]装备!#REF!</definedName>
    <definedName name="战锤伤害" localSheetId="14">[3]装备!#REF!</definedName>
    <definedName name="战锤伤害">装备!#REF!</definedName>
    <definedName name="战斧">装备!$O$18</definedName>
    <definedName name="战斧伤害" localSheetId="10">[2]装备!#REF!</definedName>
    <definedName name="战斧伤害" localSheetId="9">[2]装备!#REF!</definedName>
    <definedName name="战斧伤害" localSheetId="14">[3]装备!#REF!</definedName>
    <definedName name="战斧伤害">装备!#REF!</definedName>
    <definedName name="战镐">装备!$O$33</definedName>
    <definedName name="战镐伤害" localSheetId="10">[2]装备!#REF!</definedName>
    <definedName name="战镐伤害" localSheetId="9">[2]装备!#REF!</definedName>
    <definedName name="战镐伤害" localSheetId="14">[3]装备!#REF!</definedName>
    <definedName name="战镐伤害">装备!#REF!</definedName>
    <definedName name="战俑" localSheetId="10">[2]数据表!#REF!</definedName>
    <definedName name="战俑" localSheetId="9">[2]数据表!#REF!</definedName>
    <definedName name="战俑" localSheetId="14">[3]数据表!#REF!</definedName>
    <definedName name="战俑">数据表!#REF!</definedName>
    <definedName name="长柄刀">装备!$O$20</definedName>
    <definedName name="长柄刀伤害" localSheetId="10">[2]装备!#REF!</definedName>
    <definedName name="长柄刀伤害" localSheetId="9">[2]装备!#REF!</definedName>
    <definedName name="长柄刀伤害" localSheetId="14">[3]装备!#REF!</definedName>
    <definedName name="长柄刀伤害">装备!#REF!</definedName>
    <definedName name="长弓">装备!$O$39</definedName>
    <definedName name="长弓伤害" localSheetId="10">[2]装备!#REF!</definedName>
    <definedName name="长弓伤害" localSheetId="9">[2]装备!#REF!</definedName>
    <definedName name="长弓伤害" localSheetId="14">[3]装备!#REF!</definedName>
    <definedName name="长弓伤害">装备!#REF!</definedName>
    <definedName name="长棍">装备!$O$11</definedName>
    <definedName name="长棍伤害" localSheetId="10">[2]装备!#REF!</definedName>
    <definedName name="长棍伤害" localSheetId="9">[2]装备!#REF!</definedName>
    <definedName name="长棍伤害" localSheetId="14">[3]装备!#REF!</definedName>
    <definedName name="长棍伤害">装备!#REF!</definedName>
    <definedName name="长剑">装备!$O$25</definedName>
    <definedName name="长剑伤害" localSheetId="10">[2]装备!#REF!</definedName>
    <definedName name="长剑伤害" localSheetId="9">[2]装备!#REF!</definedName>
    <definedName name="长剑伤害" localSheetId="14">[3]装备!#REF!</definedName>
    <definedName name="长剑伤害">装备!#REF!</definedName>
    <definedName name="长矛">装备!$O$28</definedName>
    <definedName name="长矛伤害" localSheetId="10">[2]装备!#REF!</definedName>
    <definedName name="长矛伤害" localSheetId="9">[2]装备!#REF!</definedName>
    <definedName name="长矛伤害" localSheetId="14">[3]装备!#REF!</definedName>
    <definedName name="长矛伤害">装备!#REF!</definedName>
    <definedName name="中型" localSheetId="10">[2]装备!#REF!</definedName>
    <definedName name="中型" localSheetId="9">[2]装备!#REF!</definedName>
    <definedName name="中型" localSheetId="14">[3]装备!#REF!</definedName>
    <definedName name="中型">装备!$K$33:$K$37</definedName>
    <definedName name="重弩">装备!$O$38</definedName>
    <definedName name="重弩伤害" localSheetId="10">[2]装备!#REF!</definedName>
    <definedName name="重弩伤害" localSheetId="9">[2]装备!#REF!</definedName>
    <definedName name="重弩伤害" localSheetId="14">[3]装备!#REF!</definedName>
    <definedName name="重弩伤害">装备!#REF!</definedName>
    <definedName name="重型" localSheetId="10">[2]装备!#REF!</definedName>
    <definedName name="重型" localSheetId="9">[2]装备!#REF!</definedName>
    <definedName name="重型" localSheetId="14">[3]装备!#REF!</definedName>
    <definedName name="重型">装备!$L$33:$L$36</definedName>
    <definedName name="侏儒" localSheetId="10">[2]数据表!#REF!</definedName>
    <definedName name="侏儒" localSheetId="9">[2]数据表!#REF!</definedName>
    <definedName name="侏儒" localSheetId="14">[3]数据表!#REF!</definedName>
    <definedName name="侏儒">数据表!#REF!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14" i="18" l="1" a="1"/>
  <c r="BK14" i="18" s="1"/>
  <c r="BK7" i="18" a="1"/>
  <c r="BK7" i="18"/>
  <c r="B17" i="28" a="1"/>
  <c r="B17" i="28" s="1"/>
  <c r="BV38" i="10"/>
  <c r="AF33" i="2"/>
  <c r="AF34" i="2"/>
  <c r="AF35" i="2"/>
  <c r="AF36" i="2"/>
  <c r="AF32" i="2"/>
  <c r="R23" i="2"/>
  <c r="R22" i="2"/>
  <c r="BU59" i="18"/>
  <c r="BU60" i="18"/>
  <c r="BU61" i="18"/>
  <c r="BU62" i="18"/>
  <c r="BU63" i="18"/>
  <c r="BU64" i="18"/>
  <c r="BU65" i="18"/>
  <c r="BU66" i="18"/>
  <c r="BU67" i="18"/>
  <c r="BU68" i="18"/>
  <c r="CI38" i="10"/>
  <c r="BP20" i="10"/>
  <c r="D231" i="18" l="1"/>
  <c r="E231" i="18" s="1"/>
  <c r="AM12" i="27"/>
  <c r="AO12" i="27" s="1"/>
  <c r="AM13" i="27"/>
  <c r="AO13" i="27" s="1"/>
  <c r="AM14" i="27"/>
  <c r="AO14" i="27" s="1"/>
  <c r="AM11" i="27" l="1"/>
  <c r="AO11" i="27" l="1"/>
  <c r="BG4" i="3"/>
  <c r="AD15" i="32"/>
  <c r="P14" i="10" l="1"/>
  <c r="F70" i="2" s="1"/>
  <c r="BT67" i="2" l="1"/>
  <c r="BT56" i="2"/>
  <c r="BT49" i="2"/>
  <c r="CN47" i="2"/>
  <c r="CL47" i="2"/>
  <c r="CJ47" i="2"/>
  <c r="CF47" i="2"/>
  <c r="CD47" i="2"/>
  <c r="CB47" i="2"/>
  <c r="BX47" i="2"/>
  <c r="BV47" i="2"/>
  <c r="BT47" i="2"/>
  <c r="CN45" i="2"/>
  <c r="CL45" i="2"/>
  <c r="CJ45" i="2"/>
  <c r="CF45" i="2"/>
  <c r="CD45" i="2"/>
  <c r="CB45" i="2"/>
  <c r="BX45" i="2"/>
  <c r="BV45" i="2"/>
  <c r="BT45" i="2"/>
  <c r="CD43" i="2"/>
  <c r="BZ43" i="2"/>
  <c r="BW43" i="2"/>
  <c r="BT43" i="2"/>
  <c r="CN41" i="2"/>
  <c r="CK41" i="2"/>
  <c r="CI41" i="2"/>
  <c r="CD41" i="2"/>
  <c r="AC11" i="32"/>
  <c r="AC21" i="32"/>
  <c r="BU29" i="18"/>
  <c r="BU30" i="18"/>
  <c r="BU31" i="18"/>
  <c r="BU32" i="18"/>
  <c r="BU33" i="18"/>
  <c r="BU34" i="18"/>
  <c r="BU35" i="18"/>
  <c r="BU36" i="18"/>
  <c r="BU37" i="18"/>
  <c r="BU38" i="18"/>
  <c r="BU39" i="18"/>
  <c r="BU40" i="18"/>
  <c r="BU41" i="18"/>
  <c r="BU42" i="18"/>
  <c r="BU43" i="18"/>
  <c r="BU44" i="18"/>
  <c r="BU45" i="18"/>
  <c r="BU46" i="18"/>
  <c r="BU47" i="18"/>
  <c r="BU48" i="18"/>
  <c r="BU49" i="18"/>
  <c r="BU50" i="18"/>
  <c r="BU51" i="18"/>
  <c r="BU52" i="18"/>
  <c r="BU53" i="18"/>
  <c r="BU54" i="18"/>
  <c r="BU55" i="18"/>
  <c r="BU56" i="18"/>
  <c r="BU57" i="18"/>
  <c r="BU58" i="18"/>
  <c r="F27" i="16"/>
  <c r="H27" i="16" s="1"/>
  <c r="G27" i="16" l="1"/>
  <c r="W23" i="2" l="1"/>
  <c r="U23" i="2" l="1"/>
  <c r="D221" i="18"/>
  <c r="E221" i="18" s="1"/>
  <c r="O2" i="26" l="1"/>
  <c r="V2" i="26" s="1"/>
  <c r="I2" i="26"/>
  <c r="J2" i="26"/>
  <c r="K2" i="26"/>
  <c r="L2" i="26"/>
  <c r="M2" i="26"/>
  <c r="N2" i="26"/>
  <c r="H2" i="26"/>
  <c r="P2" i="26" l="1"/>
  <c r="AP4" i="17" s="1"/>
  <c r="Q2" i="26"/>
  <c r="S4" i="17" s="1"/>
  <c r="R2" i="26"/>
  <c r="S2" i="26"/>
  <c r="S5" i="17" s="1"/>
  <c r="T2" i="26"/>
  <c r="S6" i="17" s="1"/>
  <c r="U2" i="26"/>
  <c r="S7" i="17" s="1"/>
  <c r="E2" i="26"/>
  <c r="D2" i="26"/>
  <c r="BU2" i="18" l="1"/>
  <c r="B92" i="2" l="1"/>
  <c r="B89" i="2"/>
  <c r="G88" i="2"/>
  <c r="L87" i="2"/>
  <c r="G87" i="2"/>
  <c r="B87" i="2"/>
  <c r="I85" i="2"/>
  <c r="R84" i="2"/>
  <c r="AN81" i="2"/>
  <c r="AF81" i="2"/>
  <c r="X81" i="2"/>
  <c r="P81" i="2"/>
  <c r="AN80" i="2"/>
  <c r="AF80" i="2"/>
  <c r="X80" i="2"/>
  <c r="P80" i="2"/>
  <c r="AN79" i="2"/>
  <c r="AF79" i="2"/>
  <c r="X79" i="2"/>
  <c r="P79" i="2"/>
  <c r="AN78" i="2"/>
  <c r="AF78" i="2"/>
  <c r="X78" i="2"/>
  <c r="P78" i="2"/>
  <c r="AN77" i="2"/>
  <c r="AF77" i="2"/>
  <c r="X77" i="2"/>
  <c r="P77" i="2"/>
  <c r="AN76" i="2"/>
  <c r="AF76" i="2"/>
  <c r="AN75" i="2"/>
  <c r="AF75" i="2"/>
  <c r="AN74" i="2"/>
  <c r="AF74" i="2"/>
  <c r="AN73" i="2"/>
  <c r="AF73" i="2"/>
  <c r="X73" i="2"/>
  <c r="P73" i="2"/>
  <c r="AN72" i="2"/>
  <c r="AF72" i="2"/>
  <c r="X72" i="2"/>
  <c r="P72" i="2"/>
  <c r="AN71" i="2"/>
  <c r="AF71" i="2"/>
  <c r="X71" i="2"/>
  <c r="P71" i="2"/>
  <c r="AN70" i="2"/>
  <c r="AF70" i="2"/>
  <c r="X70" i="2"/>
  <c r="P70" i="2"/>
  <c r="AN69" i="2"/>
  <c r="AF69" i="2"/>
  <c r="X69" i="2"/>
  <c r="P69" i="2"/>
  <c r="AN68" i="2"/>
  <c r="AF68" i="2"/>
  <c r="X68" i="2"/>
  <c r="P68" i="2"/>
  <c r="AN67" i="2"/>
  <c r="AF67" i="2"/>
  <c r="X67" i="2"/>
  <c r="P67" i="2"/>
  <c r="AN66" i="2"/>
  <c r="AF66" i="2"/>
  <c r="X66" i="2"/>
  <c r="P66" i="2"/>
  <c r="AM4" i="29"/>
  <c r="AC62" i="2" l="1"/>
  <c r="Z23" i="10" l="1"/>
  <c r="Z24" i="10"/>
  <c r="Z25" i="10"/>
  <c r="Z26" i="10"/>
  <c r="Z27" i="10"/>
  <c r="Z28" i="10"/>
  <c r="Z29" i="10"/>
  <c r="Z30" i="10"/>
  <c r="Z31" i="10"/>
  <c r="Z33" i="10"/>
  <c r="Z34" i="10"/>
  <c r="Z35" i="10"/>
  <c r="Z36" i="10"/>
  <c r="Z37" i="10"/>
  <c r="Z38" i="10"/>
  <c r="Z39" i="10"/>
  <c r="Z40" i="10"/>
  <c r="Z41" i="10"/>
  <c r="Z42" i="10"/>
  <c r="Z22" i="10"/>
  <c r="AR51" i="3" l="1"/>
  <c r="W22" i="10"/>
  <c r="X22" i="10"/>
  <c r="Y22" i="10"/>
  <c r="W23" i="10"/>
  <c r="X23" i="10"/>
  <c r="Y23" i="10"/>
  <c r="W24" i="10"/>
  <c r="X24" i="10"/>
  <c r="Y24" i="10"/>
  <c r="W25" i="10"/>
  <c r="X25" i="10"/>
  <c r="Y25" i="10"/>
  <c r="W26" i="10"/>
  <c r="X26" i="10"/>
  <c r="Y26" i="10"/>
  <c r="W27" i="10"/>
  <c r="X27" i="10"/>
  <c r="Y27" i="10"/>
  <c r="W28" i="10"/>
  <c r="X28" i="10"/>
  <c r="Y28" i="10"/>
  <c r="W29" i="10"/>
  <c r="X29" i="10"/>
  <c r="Y29" i="10"/>
  <c r="W30" i="10"/>
  <c r="X30" i="10"/>
  <c r="Y30" i="10"/>
  <c r="W31" i="10"/>
  <c r="X31" i="10"/>
  <c r="Y31" i="10"/>
  <c r="W33" i="10"/>
  <c r="X33" i="10"/>
  <c r="Y33" i="10"/>
  <c r="W34" i="10"/>
  <c r="X34" i="10"/>
  <c r="Y34" i="10"/>
  <c r="W35" i="10"/>
  <c r="X35" i="10"/>
  <c r="Y35" i="10"/>
  <c r="W36" i="10"/>
  <c r="X36" i="10"/>
  <c r="Y36" i="10"/>
  <c r="W37" i="10"/>
  <c r="X37" i="10"/>
  <c r="Y37" i="10"/>
  <c r="W38" i="10"/>
  <c r="X38" i="10"/>
  <c r="Y38" i="10"/>
  <c r="W39" i="10"/>
  <c r="X39" i="10"/>
  <c r="Y39" i="10"/>
  <c r="W40" i="10"/>
  <c r="X40" i="10"/>
  <c r="Y40" i="10"/>
  <c r="W41" i="10"/>
  <c r="X41" i="10"/>
  <c r="Y41" i="10"/>
  <c r="W42" i="10"/>
  <c r="X42" i="10"/>
  <c r="Y42" i="10"/>
  <c r="L60" i="2"/>
  <c r="AC60" i="2"/>
  <c r="AN61" i="2"/>
  <c r="CH3" i="29"/>
  <c r="N16" i="10" l="1"/>
  <c r="N15" i="10"/>
  <c r="N14" i="10"/>
  <c r="Y21" i="16"/>
  <c r="U3" i="16"/>
  <c r="Z3" i="16" s="1"/>
  <c r="U4" i="16"/>
  <c r="Z4" i="16" s="1"/>
  <c r="U5" i="16"/>
  <c r="Z5" i="16" s="1"/>
  <c r="U6" i="16"/>
  <c r="Z6" i="16" s="1"/>
  <c r="U2" i="16"/>
  <c r="Z2" i="16" s="1"/>
  <c r="AL4" i="18"/>
  <c r="AL3" i="18"/>
  <c r="AK4" i="18"/>
  <c r="AK3" i="18"/>
  <c r="AJ4" i="18"/>
  <c r="AJ3" i="18"/>
  <c r="AJ2" i="18"/>
  <c r="AL2" i="18"/>
  <c r="AK2" i="18"/>
  <c r="F13" i="2"/>
  <c r="AI2" i="18" l="1"/>
  <c r="BK21" i="18" s="1" a="1"/>
  <c r="BK21" i="18" s="1"/>
  <c r="V62" i="2"/>
  <c r="R62" i="2"/>
  <c r="O62" i="2"/>
  <c r="AI8" i="18"/>
  <c r="AI7" i="18"/>
  <c r="AI14" i="18"/>
  <c r="AL6" i="18"/>
  <c r="AH11" i="10" s="1"/>
  <c r="AL7" i="18"/>
  <c r="AH12" i="10" s="1"/>
  <c r="AI13" i="18"/>
  <c r="AH9" i="10" s="1"/>
  <c r="AI4" i="18"/>
  <c r="AH3" i="10" s="1"/>
  <c r="AI9" i="18"/>
  <c r="AH6" i="10" s="1"/>
  <c r="AI5" i="18"/>
  <c r="AH4" i="10" s="1"/>
  <c r="AI6" i="18"/>
  <c r="AI10" i="18"/>
  <c r="AI3" i="18"/>
  <c r="AH2" i="10" s="1"/>
  <c r="AI11" i="18"/>
  <c r="AH7" i="10" s="1"/>
  <c r="AI12" i="18"/>
  <c r="AH8" i="10" s="1"/>
  <c r="AH5" i="10" l="1"/>
  <c r="AH10" i="10"/>
  <c r="BK22" i="18" a="1"/>
  <c r="BK22" i="18" s="1"/>
  <c r="BK24" i="18" a="1"/>
  <c r="BK24" i="18" s="1"/>
  <c r="BK23" i="18" a="1"/>
  <c r="BK23" i="18" s="1"/>
  <c r="BK3" i="18" a="1"/>
  <c r="BK3" i="18" s="1"/>
  <c r="BK19" i="18" a="1"/>
  <c r="BK19" i="18" s="1"/>
  <c r="BK16" i="18" a="1"/>
  <c r="BK16" i="18" s="1"/>
  <c r="BK17" i="18" a="1"/>
  <c r="BK17" i="18" s="1"/>
  <c r="BK18" i="18" a="1"/>
  <c r="BK18" i="18" s="1"/>
  <c r="BK20" i="18" a="1"/>
  <c r="BK20" i="18" s="1"/>
  <c r="BK131" i="18" a="1"/>
  <c r="BK131" i="18" s="1"/>
  <c r="BK130" i="18" a="1"/>
  <c r="BK130" i="18" s="1"/>
  <c r="BK129" i="18" a="1"/>
  <c r="BK129" i="18" s="1"/>
  <c r="BK128" i="18" a="1"/>
  <c r="BK128" i="18" s="1"/>
  <c r="BK15" i="18" a="1"/>
  <c r="BK15" i="18" s="1"/>
  <c r="BK68" i="18" a="1"/>
  <c r="BK68" i="18" s="1"/>
  <c r="BK67" i="18" a="1"/>
  <c r="BK67" i="18" s="1"/>
  <c r="BK66" i="18" a="1"/>
  <c r="BK66" i="18" s="1"/>
  <c r="BK65" i="18" a="1"/>
  <c r="BK65" i="18" s="1"/>
  <c r="BK64" i="18" a="1"/>
  <c r="BK64" i="18" s="1"/>
  <c r="BK63" i="18" a="1"/>
  <c r="BK63" i="18" s="1"/>
  <c r="BK8" i="18" a="1"/>
  <c r="BK8" i="18" s="1"/>
  <c r="BK72" i="18" a="1"/>
  <c r="BK72" i="18" s="1"/>
  <c r="BK71" i="18" a="1"/>
  <c r="BK71" i="18" s="1"/>
  <c r="BK70" i="18" a="1"/>
  <c r="BK70" i="18" s="1"/>
  <c r="BK69" i="18" a="1"/>
  <c r="BK69" i="18" s="1"/>
  <c r="BK80" i="18" a="1"/>
  <c r="BK80" i="18" s="1"/>
  <c r="BK79" i="18" a="1"/>
  <c r="BK79" i="18" s="1"/>
  <c r="BK78" i="18" a="1"/>
  <c r="BK78" i="18" s="1"/>
  <c r="BK77" i="18" a="1"/>
  <c r="BK77" i="18" s="1"/>
  <c r="BK76" i="18" a="1"/>
  <c r="BK76" i="18" s="1"/>
  <c r="BK75" i="18" a="1"/>
  <c r="BK75" i="18" s="1"/>
  <c r="BK74" i="18" a="1"/>
  <c r="BK74" i="18" s="1"/>
  <c r="BK73" i="18" a="1"/>
  <c r="BK73" i="18" s="1"/>
  <c r="BK9" i="18" a="1"/>
  <c r="BK9" i="18" s="1"/>
  <c r="BK107" i="18" a="1"/>
  <c r="BK107" i="18" s="1"/>
  <c r="BK106" i="18" a="1"/>
  <c r="BK106" i="18" s="1"/>
  <c r="BK13" i="18" a="1"/>
  <c r="BK13" i="18" s="1"/>
  <c r="BK114" i="18" a="1"/>
  <c r="BK114" i="18" s="1"/>
  <c r="BK113" i="18" a="1"/>
  <c r="BK113" i="18" s="1"/>
  <c r="BK112" i="18" a="1"/>
  <c r="BK112" i="18" s="1"/>
  <c r="BK111" i="18" a="1"/>
  <c r="BK111" i="18" s="1"/>
  <c r="BK110" i="18" a="1"/>
  <c r="BK110" i="18" s="1"/>
  <c r="BK109" i="18" a="1"/>
  <c r="BK109" i="18" s="1"/>
  <c r="BK108" i="18" a="1"/>
  <c r="BK108" i="18" s="1"/>
  <c r="BK105" i="18" a="1"/>
  <c r="BK105" i="18" s="1"/>
  <c r="BK104" i="18" a="1"/>
  <c r="BK104" i="18" s="1"/>
  <c r="BK103" i="18" a="1"/>
  <c r="BK103" i="18" s="1"/>
  <c r="BK102" i="18" a="1"/>
  <c r="BK102" i="18" s="1"/>
  <c r="BK101" i="18" a="1"/>
  <c r="BK101" i="18" s="1"/>
  <c r="BK100" i="18" a="1"/>
  <c r="BK100" i="18" s="1"/>
  <c r="BK99" i="18" a="1"/>
  <c r="BK99" i="18" s="1"/>
  <c r="BK98" i="18" a="1"/>
  <c r="BK98" i="18" s="1"/>
  <c r="BK12" i="18" a="1"/>
  <c r="BK12" i="18" s="1"/>
  <c r="BK32" i="18" a="1"/>
  <c r="BK32" i="18" s="1"/>
  <c r="BK31" i="18" a="1"/>
  <c r="BK31" i="18" s="1"/>
  <c r="BK30" i="18" a="1"/>
  <c r="BK30" i="18" s="1"/>
  <c r="BK29" i="18" a="1"/>
  <c r="BK29" i="18" s="1"/>
  <c r="BK28" i="18" a="1"/>
  <c r="BK28" i="18" s="1"/>
  <c r="BK27" i="18" a="1"/>
  <c r="BK27" i="18" s="1"/>
  <c r="BK26" i="18" a="1"/>
  <c r="BK26" i="18" s="1"/>
  <c r="BK25" i="18" a="1"/>
  <c r="BK25" i="18" s="1"/>
  <c r="BK4" i="18" a="1"/>
  <c r="BK4" i="18" s="1"/>
  <c r="BK93" i="18" a="1"/>
  <c r="BK93" i="18" s="1"/>
  <c r="BK92" i="18" a="1"/>
  <c r="BK92" i="18" s="1"/>
  <c r="BK91" i="18" a="1"/>
  <c r="BK91" i="18" s="1"/>
  <c r="BK90" i="18" a="1"/>
  <c r="BK90" i="18" s="1"/>
  <c r="BK89" i="18" a="1"/>
  <c r="BK89" i="18" s="1"/>
  <c r="BK11" i="18" a="1"/>
  <c r="BK11" i="18" s="1"/>
  <c r="BK97" i="18" a="1"/>
  <c r="BK97" i="18" s="1"/>
  <c r="BK96" i="18" a="1"/>
  <c r="BK96" i="18" s="1"/>
  <c r="BK95" i="18" a="1"/>
  <c r="BK95" i="18" s="1"/>
  <c r="BK94" i="18" a="1"/>
  <c r="BK94" i="18" s="1"/>
  <c r="BK56" i="18" a="1"/>
  <c r="BK56" i="18" s="1"/>
  <c r="BK55" i="18" a="1"/>
  <c r="BK55" i="18" s="1"/>
  <c r="BK54" i="18" a="1"/>
  <c r="BK54" i="18" s="1"/>
  <c r="BK53" i="18" a="1"/>
  <c r="BK53" i="18" s="1"/>
  <c r="BK62" i="18" a="1"/>
  <c r="BK62" i="18" s="1"/>
  <c r="BK61" i="18" a="1"/>
  <c r="BK61" i="18" s="1"/>
  <c r="BK60" i="18" a="1"/>
  <c r="BK60" i="18" s="1"/>
  <c r="BK59" i="18" a="1"/>
  <c r="BK59" i="18" s="1"/>
  <c r="BK58" i="18" a="1"/>
  <c r="BK58" i="18" s="1"/>
  <c r="BK57" i="18" a="1"/>
  <c r="BK57" i="18" s="1"/>
  <c r="BK52" i="18" a="1"/>
  <c r="BK52" i="18" s="1"/>
  <c r="BK51" i="18" a="1"/>
  <c r="BK51" i="18" s="1"/>
  <c r="BK50" i="18" a="1"/>
  <c r="BK50" i="18" s="1"/>
  <c r="BK49" i="18" a="1"/>
  <c r="BK49" i="18" s="1"/>
  <c r="BK6" i="18" a="1"/>
  <c r="BK6" i="18" s="1"/>
  <c r="BK48" i="18" a="1"/>
  <c r="BK48" i="18" s="1"/>
  <c r="BK47" i="18" a="1"/>
  <c r="BK47" i="18" s="1"/>
  <c r="BK46" i="18" a="1"/>
  <c r="BK46" i="18" s="1"/>
  <c r="BK88" i="18" a="1"/>
  <c r="BK88" i="18" s="1"/>
  <c r="BK87" i="18" a="1"/>
  <c r="BK87" i="18" s="1"/>
  <c r="BK86" i="18" a="1"/>
  <c r="BK86" i="18" s="1"/>
  <c r="BK85" i="18" a="1"/>
  <c r="BK85" i="18" s="1"/>
  <c r="BK84" i="18" a="1"/>
  <c r="BK84" i="18" s="1"/>
  <c r="BK83" i="18" a="1"/>
  <c r="BK83" i="18" s="1"/>
  <c r="BK82" i="18" a="1"/>
  <c r="BK82" i="18" s="1"/>
  <c r="BK81" i="18" a="1"/>
  <c r="BK81" i="18" s="1"/>
  <c r="BK10" i="18" a="1"/>
  <c r="BK10" i="18" s="1"/>
  <c r="BK33" i="18" a="1"/>
  <c r="BK33" i="18" s="1"/>
  <c r="BK43" i="18" a="1"/>
  <c r="BK43" i="18" s="1"/>
  <c r="BK5" i="18" a="1"/>
  <c r="BK5" i="18" s="1"/>
  <c r="BK42" i="18" a="1"/>
  <c r="BK42" i="18" s="1"/>
  <c r="BK41" i="18" a="1"/>
  <c r="BK41" i="18" s="1"/>
  <c r="BK40" i="18" a="1"/>
  <c r="BK40" i="18" s="1"/>
  <c r="BK39" i="18" a="1"/>
  <c r="BK39" i="18" s="1"/>
  <c r="BK38" i="18" a="1"/>
  <c r="BK38" i="18" s="1"/>
  <c r="BK45" i="18" a="1"/>
  <c r="BK45" i="18" s="1"/>
  <c r="BK44" i="18" a="1"/>
  <c r="BK44" i="18" s="1"/>
  <c r="BK37" i="18" a="1"/>
  <c r="BK37" i="18" s="1"/>
  <c r="BK36" i="18" a="1"/>
  <c r="BK36" i="18" s="1"/>
  <c r="BK35" i="18" a="1"/>
  <c r="BK35" i="18" s="1"/>
  <c r="BK34" i="18" a="1"/>
  <c r="BK34" i="18" s="1"/>
  <c r="BK121" i="18" a="1"/>
  <c r="BK121" i="18" s="1"/>
  <c r="BK120" i="18" a="1"/>
  <c r="BK120" i="18" s="1"/>
  <c r="BK119" i="18" a="1"/>
  <c r="BK119" i="18" s="1"/>
  <c r="BK118" i="18" a="1"/>
  <c r="BK118" i="18" s="1"/>
  <c r="BK117" i="18" a="1"/>
  <c r="BK117" i="18" s="1"/>
  <c r="BK116" i="18" a="1"/>
  <c r="BK116" i="18" s="1"/>
  <c r="BK115" i="18" a="1"/>
  <c r="BK115" i="18" s="1"/>
  <c r="BK127" i="18" a="1"/>
  <c r="BK127" i="18" s="1"/>
  <c r="BK126" i="18" a="1"/>
  <c r="BK126" i="18" s="1"/>
  <c r="BK125" i="18" a="1"/>
  <c r="BK125" i="18" s="1"/>
  <c r="BK124" i="18" a="1"/>
  <c r="BK124" i="18" s="1"/>
  <c r="BK123" i="18" a="1"/>
  <c r="BK123" i="18" s="1"/>
  <c r="BK122" i="18" a="1"/>
  <c r="BK122" i="18" s="1"/>
  <c r="AF9" i="18"/>
  <c r="AH24" i="18"/>
  <c r="AH23" i="18"/>
  <c r="AH20" i="18"/>
  <c r="AH22" i="18"/>
  <c r="AH21" i="18"/>
  <c r="AF11" i="18" l="1"/>
  <c r="AF10" i="18"/>
  <c r="AF14" i="18" l="1"/>
  <c r="AF22" i="18"/>
  <c r="AJ23" i="18" s="1"/>
  <c r="H79" i="2" s="1"/>
  <c r="AF16" i="18"/>
  <c r="AJ17" i="18" s="1"/>
  <c r="H73" i="2" s="1"/>
  <c r="AF24" i="18"/>
  <c r="J81" i="2" s="1"/>
  <c r="AF21" i="18"/>
  <c r="AJ22" i="18" s="1"/>
  <c r="H78" i="2" s="1"/>
  <c r="AF20" i="18"/>
  <c r="AJ21" i="18" s="1"/>
  <c r="H77" i="2" s="1"/>
  <c r="AF19" i="18"/>
  <c r="AJ20" i="18" s="1"/>
  <c r="H76" i="2" s="1"/>
  <c r="AF17" i="18"/>
  <c r="AJ18" i="18" s="1"/>
  <c r="H74" i="2" s="1"/>
  <c r="AF18" i="18"/>
  <c r="AJ19" i="18" s="1"/>
  <c r="H75" i="2" s="1"/>
  <c r="AF15" i="18"/>
  <c r="AJ16" i="18" s="1"/>
  <c r="H72" i="2" s="1"/>
  <c r="AF23" i="18"/>
  <c r="AJ24" i="18" s="1"/>
  <c r="H80" i="2" s="1"/>
  <c r="BC22" i="18" l="1"/>
  <c r="BB22" i="18"/>
  <c r="BA22" i="18"/>
  <c r="AZ22" i="18"/>
  <c r="BS15" i="30"/>
  <c r="Y15" i="30"/>
  <c r="CB7" i="30"/>
  <c r="BS7" i="30"/>
  <c r="AV7" i="30"/>
  <c r="AH7" i="30"/>
  <c r="Y7" i="30"/>
  <c r="B7" i="30"/>
  <c r="BC12" i="29"/>
  <c r="BA12" i="29"/>
  <c r="BC11" i="29"/>
  <c r="BA11" i="29"/>
  <c r="BC10" i="29"/>
  <c r="BA10" i="29"/>
  <c r="BC9" i="29"/>
  <c r="BA9" i="29"/>
  <c r="BC8" i="29"/>
  <c r="BA8" i="29"/>
  <c r="AM8" i="29"/>
  <c r="AK8" i="29"/>
  <c r="BC7" i="29"/>
  <c r="BA7" i="29"/>
  <c r="AM7" i="29"/>
  <c r="AK7" i="29"/>
  <c r="AM6" i="29"/>
  <c r="AK6" i="29"/>
  <c r="AM5" i="29"/>
  <c r="AK5" i="29"/>
  <c r="AK4" i="29"/>
  <c r="AM3" i="29"/>
  <c r="AK3" i="29"/>
  <c r="CI39" i="10" l="1"/>
  <c r="CI30" i="10"/>
  <c r="CI31" i="10"/>
  <c r="CI32" i="10"/>
  <c r="CI33" i="10"/>
  <c r="CI34" i="10"/>
  <c r="CI35" i="10"/>
  <c r="CI36" i="10"/>
  <c r="CI37" i="10"/>
  <c r="CI29" i="10"/>
  <c r="CI28" i="10"/>
  <c r="CI25" i="10"/>
  <c r="CI26" i="10"/>
  <c r="CI27" i="10"/>
  <c r="CI24" i="10"/>
  <c r="CI23" i="10"/>
  <c r="B301" i="10"/>
  <c r="B300" i="10"/>
  <c r="B299" i="10"/>
  <c r="B298" i="10"/>
  <c r="F298" i="10" s="1"/>
  <c r="B297" i="10"/>
  <c r="F297" i="10" s="1"/>
  <c r="B296" i="10"/>
  <c r="B295" i="10"/>
  <c r="B294" i="10"/>
  <c r="B293" i="10"/>
  <c r="B292" i="10"/>
  <c r="B291" i="10"/>
  <c r="B290" i="10"/>
  <c r="B289" i="10"/>
  <c r="B288" i="10"/>
  <c r="B287" i="10"/>
  <c r="F287" i="10" s="1"/>
  <c r="B286" i="10"/>
  <c r="B285" i="10"/>
  <c r="B284" i="10"/>
  <c r="F284" i="10" s="1"/>
  <c r="B283" i="10"/>
  <c r="B282" i="10"/>
  <c r="B281" i="10"/>
  <c r="B280" i="10"/>
  <c r="B279" i="10"/>
  <c r="F279" i="10" s="1"/>
  <c r="B278" i="10"/>
  <c r="B277" i="10"/>
  <c r="B276" i="10"/>
  <c r="B275" i="10"/>
  <c r="B274" i="10"/>
  <c r="F274" i="10" s="1"/>
  <c r="B273" i="10"/>
  <c r="B272" i="10"/>
  <c r="F272" i="10" s="1"/>
  <c r="B271" i="10"/>
  <c r="F271" i="10" s="1"/>
  <c r="B270" i="10"/>
  <c r="F270" i="10" s="1"/>
  <c r="B269" i="10"/>
  <c r="B268" i="10"/>
  <c r="F268" i="10" s="1"/>
  <c r="B267" i="10"/>
  <c r="B266" i="10"/>
  <c r="B265" i="10"/>
  <c r="B264" i="10"/>
  <c r="B263" i="10"/>
  <c r="B262" i="10"/>
  <c r="B261" i="10"/>
  <c r="F261" i="10" s="1"/>
  <c r="B260" i="10"/>
  <c r="F260" i="10" s="1"/>
  <c r="B259" i="10"/>
  <c r="F259" i="10" s="1"/>
  <c r="B258" i="10"/>
  <c r="F258" i="10" s="1"/>
  <c r="B257" i="10"/>
  <c r="F257" i="10" s="1"/>
  <c r="B256" i="10"/>
  <c r="B255" i="10"/>
  <c r="B254" i="10"/>
  <c r="B253" i="10"/>
  <c r="B252" i="10"/>
  <c r="B251" i="10"/>
  <c r="B250" i="10"/>
  <c r="B249" i="10"/>
  <c r="B248" i="10"/>
  <c r="B247" i="10"/>
  <c r="B246" i="10"/>
  <c r="B245" i="10"/>
  <c r="B244" i="10"/>
  <c r="F244" i="10" s="1"/>
  <c r="B243" i="10"/>
  <c r="F243" i="10" s="1"/>
  <c r="B242" i="10"/>
  <c r="F242" i="10" s="1"/>
  <c r="B241" i="10"/>
  <c r="F241" i="10" s="1"/>
  <c r="B240" i="10"/>
  <c r="F240" i="10" s="1"/>
  <c r="B239" i="10"/>
  <c r="B238" i="10"/>
  <c r="B237" i="10"/>
  <c r="F237" i="10" s="1"/>
  <c r="B236" i="10"/>
  <c r="F236" i="10" s="1"/>
  <c r="B235" i="10"/>
  <c r="B234" i="10"/>
  <c r="B233" i="10"/>
  <c r="F233" i="10" s="1"/>
  <c r="B232" i="10"/>
  <c r="F232" i="10" s="1"/>
  <c r="B231" i="10"/>
  <c r="F231" i="10" s="1"/>
  <c r="B230" i="10"/>
  <c r="B229" i="10"/>
  <c r="B228" i="10"/>
  <c r="B227" i="10"/>
  <c r="F227" i="10" s="1"/>
  <c r="B226" i="10"/>
  <c r="B225" i="10"/>
  <c r="B224" i="10"/>
  <c r="B223" i="10"/>
  <c r="B222" i="10"/>
  <c r="F222" i="10" s="1"/>
  <c r="B221" i="10"/>
  <c r="B220" i="10"/>
  <c r="F220" i="10" s="1"/>
  <c r="B219" i="10"/>
  <c r="B218" i="10"/>
  <c r="B217" i="10"/>
  <c r="F217" i="10" s="1"/>
  <c r="B216" i="10"/>
  <c r="F216" i="10" s="1"/>
  <c r="B215" i="10"/>
  <c r="B214" i="10"/>
  <c r="B213" i="10"/>
  <c r="F213" i="10" s="1"/>
  <c r="B212" i="10"/>
  <c r="F212" i="10" s="1"/>
  <c r="B211" i="10"/>
  <c r="B210" i="10"/>
  <c r="B209" i="10"/>
  <c r="B208" i="10"/>
  <c r="B207" i="10"/>
  <c r="B206" i="10"/>
  <c r="F206" i="10" s="1"/>
  <c r="B205" i="10"/>
  <c r="F205" i="10" s="1"/>
  <c r="B204" i="10"/>
  <c r="B203" i="10"/>
  <c r="B202" i="10"/>
  <c r="B201" i="10"/>
  <c r="B200" i="10"/>
  <c r="F200" i="10" s="1"/>
  <c r="B199" i="10"/>
  <c r="B198" i="10"/>
  <c r="B197" i="10"/>
  <c r="B196" i="10"/>
  <c r="B195" i="10"/>
  <c r="F195" i="10" s="1"/>
  <c r="B194" i="10"/>
  <c r="B193" i="10"/>
  <c r="F193" i="10" s="1"/>
  <c r="B192" i="10"/>
  <c r="F192" i="10" s="1"/>
  <c r="B191" i="10"/>
  <c r="B190" i="10"/>
  <c r="F190" i="10" s="1"/>
  <c r="B189" i="10"/>
  <c r="F189" i="10" s="1"/>
  <c r="B188" i="10"/>
  <c r="B187" i="10"/>
  <c r="B186" i="10"/>
  <c r="B185" i="10"/>
  <c r="B184" i="10"/>
  <c r="B183" i="10"/>
  <c r="B182" i="10"/>
  <c r="B181" i="10"/>
  <c r="B180" i="10"/>
  <c r="F180" i="10" s="1"/>
  <c r="B179" i="10"/>
  <c r="B178" i="10"/>
  <c r="B177" i="10"/>
  <c r="F177" i="10" s="1"/>
  <c r="B176" i="10"/>
  <c r="B175" i="10"/>
  <c r="B174" i="10"/>
  <c r="B173" i="10"/>
  <c r="F173" i="10" s="1"/>
  <c r="B172" i="10"/>
  <c r="F172" i="10" s="1"/>
  <c r="B171" i="10"/>
  <c r="B170" i="10"/>
  <c r="B169" i="10"/>
  <c r="F169" i="10" s="1"/>
  <c r="B168" i="10"/>
  <c r="F168" i="10" s="1"/>
  <c r="B167" i="10"/>
  <c r="B166" i="10"/>
  <c r="B165" i="10"/>
  <c r="F165" i="10" s="1"/>
  <c r="B164" i="10"/>
  <c r="F164" i="10" s="1"/>
  <c r="B163" i="10"/>
  <c r="F163" i="10" s="1"/>
  <c r="B162" i="10"/>
  <c r="B161" i="10"/>
  <c r="F161" i="10" s="1"/>
  <c r="B160" i="10"/>
  <c r="F160" i="10" s="1"/>
  <c r="B159" i="10"/>
  <c r="B158" i="10"/>
  <c r="B157" i="10"/>
  <c r="F157" i="10" s="1"/>
  <c r="B156" i="10"/>
  <c r="F156" i="10" s="1"/>
  <c r="B155" i="10"/>
  <c r="B154" i="10"/>
  <c r="B153" i="10"/>
  <c r="B152" i="10"/>
  <c r="F152" i="10" s="1"/>
  <c r="B151" i="10"/>
  <c r="B150" i="10"/>
  <c r="B149" i="10"/>
  <c r="B148" i="10"/>
  <c r="F148" i="10" s="1"/>
  <c r="B147" i="10"/>
  <c r="F147" i="10" s="1"/>
  <c r="B146" i="10"/>
  <c r="B145" i="10"/>
  <c r="B144" i="10"/>
  <c r="B143" i="10"/>
  <c r="B142" i="10"/>
  <c r="F142" i="10" s="1"/>
  <c r="B141" i="10"/>
  <c r="F141" i="10" s="1"/>
  <c r="B140" i="10"/>
  <c r="F140" i="10" s="1"/>
  <c r="B139" i="10"/>
  <c r="B138" i="10"/>
  <c r="B137" i="10"/>
  <c r="B136" i="10"/>
  <c r="F136" i="10" s="1"/>
  <c r="B135" i="10"/>
  <c r="B134" i="10"/>
  <c r="B133" i="10"/>
  <c r="B132" i="10"/>
  <c r="F132" i="10" s="1"/>
  <c r="B131" i="10"/>
  <c r="F131" i="10" s="1"/>
  <c r="B130" i="10"/>
  <c r="B129" i="10"/>
  <c r="F129" i="10" s="1"/>
  <c r="B128" i="10"/>
  <c r="F128" i="10" s="1"/>
  <c r="B127" i="10"/>
  <c r="B126" i="10"/>
  <c r="F126" i="10" s="1"/>
  <c r="B125" i="10"/>
  <c r="F125" i="10" s="1"/>
  <c r="B124" i="10"/>
  <c r="F124" i="10" s="1"/>
  <c r="B123" i="10"/>
  <c r="B122" i="10"/>
  <c r="B121" i="10"/>
  <c r="B120" i="10"/>
  <c r="B119" i="10"/>
  <c r="F119" i="10" s="1"/>
  <c r="B118" i="10"/>
  <c r="B117" i="10"/>
  <c r="F117" i="10" s="1"/>
  <c r="B116" i="10"/>
  <c r="F116" i="10" s="1"/>
  <c r="B115" i="10"/>
  <c r="B114" i="10"/>
  <c r="F114" i="10" s="1"/>
  <c r="B113" i="10"/>
  <c r="B112" i="10"/>
  <c r="F112" i="10" s="1"/>
  <c r="B111" i="10"/>
  <c r="B110" i="10"/>
  <c r="B109" i="10"/>
  <c r="B108" i="10"/>
  <c r="B107" i="10"/>
  <c r="B106" i="10"/>
  <c r="B105" i="10"/>
  <c r="B104" i="10"/>
  <c r="F104" i="10" s="1"/>
  <c r="B103" i="10"/>
  <c r="B102" i="10"/>
  <c r="B101" i="10"/>
  <c r="B100" i="10"/>
  <c r="F100" i="10" s="1"/>
  <c r="B99" i="10"/>
  <c r="B98" i="10"/>
  <c r="F98" i="10" s="1"/>
  <c r="B97" i="10"/>
  <c r="B96" i="10"/>
  <c r="F96" i="10" s="1"/>
  <c r="B95" i="10"/>
  <c r="B94" i="10"/>
  <c r="B93" i="10"/>
  <c r="B92" i="10"/>
  <c r="B91" i="10"/>
  <c r="B90" i="10"/>
  <c r="B89" i="10"/>
  <c r="B88" i="10"/>
  <c r="B87" i="10"/>
  <c r="B86" i="10"/>
  <c r="B85" i="10"/>
  <c r="F85" i="10" s="1"/>
  <c r="B84" i="10"/>
  <c r="B83" i="10"/>
  <c r="F83" i="10" s="1"/>
  <c r="B82" i="10"/>
  <c r="F82" i="10" s="1"/>
  <c r="B81" i="10"/>
  <c r="F81" i="10" s="1"/>
  <c r="B80" i="10"/>
  <c r="B79" i="10"/>
  <c r="B78" i="10"/>
  <c r="B77" i="10"/>
  <c r="B76" i="10"/>
  <c r="F76" i="10" s="1"/>
  <c r="B75" i="10"/>
  <c r="B74" i="10"/>
  <c r="B73" i="10"/>
  <c r="F73" i="10" s="1"/>
  <c r="B72" i="10"/>
  <c r="F72" i="10" s="1"/>
  <c r="B71" i="10"/>
  <c r="B70" i="10"/>
  <c r="B69" i="10"/>
  <c r="B68" i="10"/>
  <c r="B67" i="10"/>
  <c r="F67" i="10" s="1"/>
  <c r="B66" i="10"/>
  <c r="B65" i="10"/>
  <c r="F65" i="10" s="1"/>
  <c r="B64" i="10"/>
  <c r="B63" i="10"/>
  <c r="B62" i="10"/>
  <c r="B61" i="10"/>
  <c r="B60" i="10"/>
  <c r="B59" i="10"/>
  <c r="B58" i="10"/>
  <c r="B57" i="10"/>
  <c r="B56" i="10"/>
  <c r="F56" i="10" s="1"/>
  <c r="B55" i="10"/>
  <c r="F55" i="10" s="1"/>
  <c r="B54" i="10"/>
  <c r="B53" i="10"/>
  <c r="B52" i="10"/>
  <c r="F52" i="10" s="1"/>
  <c r="B51" i="10"/>
  <c r="F51" i="10" s="1"/>
  <c r="B50" i="10"/>
  <c r="B49" i="10"/>
  <c r="B48" i="10"/>
  <c r="B47" i="10"/>
  <c r="B46" i="10"/>
  <c r="B45" i="10"/>
  <c r="B44" i="10"/>
  <c r="B43" i="10"/>
  <c r="B42" i="10"/>
  <c r="B41" i="10"/>
  <c r="F41" i="10" s="1"/>
  <c r="B40" i="10"/>
  <c r="F40" i="10" s="1"/>
  <c r="B39" i="10"/>
  <c r="B38" i="10"/>
  <c r="B37" i="10"/>
  <c r="B36" i="10"/>
  <c r="B35" i="10"/>
  <c r="B34" i="10"/>
  <c r="B33" i="10"/>
  <c r="B32" i="10"/>
  <c r="F32" i="10" s="1"/>
  <c r="B31" i="10"/>
  <c r="B30" i="10"/>
  <c r="F30" i="10" s="1"/>
  <c r="B29" i="10"/>
  <c r="F29" i="10" s="1"/>
  <c r="B28" i="10"/>
  <c r="F28" i="10" s="1"/>
  <c r="B27" i="10"/>
  <c r="B26" i="10"/>
  <c r="B25" i="10"/>
  <c r="B24" i="10"/>
  <c r="B23" i="10"/>
  <c r="B22" i="10"/>
  <c r="B21" i="10"/>
  <c r="B20" i="10"/>
  <c r="F20" i="10" s="1"/>
  <c r="B19" i="10"/>
  <c r="F19" i="10" s="1"/>
  <c r="B18" i="10"/>
  <c r="B17" i="10"/>
  <c r="B16" i="10"/>
  <c r="F16" i="10" s="1"/>
  <c r="B15" i="10"/>
  <c r="B14" i="10"/>
  <c r="B13" i="10"/>
  <c r="F13" i="10" s="1"/>
  <c r="B12" i="10"/>
  <c r="F12" i="10" s="1"/>
  <c r="B11" i="10"/>
  <c r="B10" i="10"/>
  <c r="B9" i="10"/>
  <c r="B8" i="10"/>
  <c r="B7" i="10"/>
  <c r="B6" i="10"/>
  <c r="B5" i="10"/>
  <c r="F5" i="10" s="1"/>
  <c r="B4" i="10"/>
  <c r="B3" i="10"/>
  <c r="B2" i="10"/>
  <c r="A363" i="10"/>
  <c r="A362" i="10"/>
  <c r="A361" i="10"/>
  <c r="A360" i="10"/>
  <c r="A359" i="10"/>
  <c r="A358" i="10"/>
  <c r="A357" i="10"/>
  <c r="A356" i="10"/>
  <c r="A355" i="10"/>
  <c r="A354" i="10"/>
  <c r="A353" i="10"/>
  <c r="A352" i="10"/>
  <c r="A351" i="10"/>
  <c r="A350" i="10"/>
  <c r="A349" i="10"/>
  <c r="A348" i="10"/>
  <c r="A347" i="10"/>
  <c r="A346"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F300" i="10"/>
  <c r="F299" i="10"/>
  <c r="F296" i="10"/>
  <c r="F288" i="10"/>
  <c r="F280" i="10"/>
  <c r="F253" i="10"/>
  <c r="F252" i="10"/>
  <c r="F204" i="10"/>
  <c r="AS38" i="2" l="1"/>
  <c r="F248" i="10"/>
  <c r="F277" i="10"/>
  <c r="F21" i="10"/>
  <c r="F133" i="10"/>
  <c r="F275" i="10"/>
  <c r="F276" i="10"/>
  <c r="F36" i="10"/>
  <c r="F137" i="10"/>
  <c r="F84" i="10"/>
  <c r="F224" i="10"/>
  <c r="F290" i="10"/>
  <c r="F185" i="10"/>
  <c r="F225" i="10"/>
  <c r="F291" i="10"/>
  <c r="F44" i="10"/>
  <c r="F46" i="10"/>
  <c r="F108" i="10"/>
  <c r="F144" i="10"/>
  <c r="F263" i="10"/>
  <c r="F48" i="10"/>
  <c r="F145" i="10"/>
  <c r="F267" i="10"/>
  <c r="F49" i="10"/>
  <c r="F146" i="10"/>
  <c r="F50" i="10"/>
  <c r="F115" i="10"/>
  <c r="F151" i="10"/>
  <c r="F196" i="10"/>
  <c r="F197" i="10"/>
  <c r="F181" i="10"/>
  <c r="F301" i="10"/>
  <c r="F60" i="10"/>
  <c r="F292" i="10"/>
  <c r="F24" i="10"/>
  <c r="F282" i="10"/>
  <c r="F211" i="10"/>
  <c r="F35" i="10"/>
  <c r="F245" i="10"/>
  <c r="F273" i="10"/>
  <c r="F105" i="10"/>
  <c r="F68" i="10"/>
  <c r="F228" i="10"/>
  <c r="F17" i="10"/>
  <c r="F92" i="10"/>
  <c r="F121" i="10"/>
  <c r="F179" i="10"/>
  <c r="F209" i="10"/>
  <c r="F176" i="10"/>
  <c r="F149" i="10"/>
  <c r="F265" i="10"/>
  <c r="F97" i="10"/>
  <c r="F266" i="10"/>
  <c r="F88" i="10"/>
  <c r="F120" i="10"/>
  <c r="F283" i="10"/>
  <c r="F238" i="10"/>
  <c r="F25" i="10"/>
  <c r="F184" i="10"/>
  <c r="F99" i="10"/>
  <c r="F101" i="10"/>
  <c r="F188" i="10"/>
  <c r="F293" i="10"/>
  <c r="F69" i="10"/>
  <c r="F247" i="10"/>
  <c r="F3" i="10"/>
  <c r="F9" i="10"/>
  <c r="F4" i="10"/>
  <c r="F93" i="10"/>
  <c r="F87" i="10"/>
  <c r="F80" i="10"/>
  <c r="F78" i="10"/>
  <c r="F194" i="10"/>
  <c r="F221" i="10"/>
  <c r="F294" i="10"/>
  <c r="F37" i="10"/>
  <c r="F45" i="10"/>
  <c r="F110" i="10"/>
  <c r="F174" i="10"/>
  <c r="F57" i="10"/>
  <c r="F201" i="10"/>
  <c r="F94" i="10"/>
  <c r="F208" i="10"/>
  <c r="F77" i="10"/>
  <c r="F64" i="10"/>
  <c r="F53" i="10"/>
  <c r="F254" i="10"/>
  <c r="F281" i="10"/>
  <c r="F153" i="10"/>
  <c r="F229" i="10"/>
  <c r="F256" i="10"/>
  <c r="F62" i="10"/>
  <c r="F249" i="10"/>
  <c r="F269" i="10"/>
  <c r="F14" i="10"/>
  <c r="F34" i="10"/>
  <c r="F61" i="10"/>
  <c r="F89" i="10"/>
  <c r="F109" i="10"/>
  <c r="F286" i="10"/>
  <c r="F158" i="10"/>
  <c r="F113" i="10"/>
  <c r="F289" i="10"/>
  <c r="F8" i="10"/>
  <c r="F33" i="10"/>
  <c r="F264" i="10"/>
  <c r="F285" i="10"/>
  <c r="F15" i="10"/>
  <c r="F79" i="10"/>
  <c r="F127" i="10"/>
  <c r="F234" i="10"/>
  <c r="F218" i="10"/>
  <c r="F111" i="10"/>
  <c r="F202" i="10"/>
  <c r="F90" i="10"/>
  <c r="F154" i="10"/>
  <c r="F63" i="10"/>
  <c r="F170" i="10"/>
  <c r="F255" i="10"/>
  <c r="F239" i="10"/>
  <c r="F31" i="10"/>
  <c r="F175" i="10"/>
  <c r="F295" i="10"/>
  <c r="F58" i="10"/>
  <c r="F191" i="10"/>
  <c r="F42" i="10"/>
  <c r="F278" i="10"/>
  <c r="F223" i="10"/>
  <c r="F143" i="10"/>
  <c r="F74" i="10"/>
  <c r="F138" i="10"/>
  <c r="F95" i="10"/>
  <c r="F26" i="10"/>
  <c r="F106" i="10"/>
  <c r="F186" i="10"/>
  <c r="F207" i="10"/>
  <c r="F250" i="10"/>
  <c r="F47" i="10"/>
  <c r="F159" i="10"/>
  <c r="F10" i="10"/>
  <c r="F122" i="10"/>
  <c r="F6" i="10"/>
  <c r="F11" i="10"/>
  <c r="F22" i="10"/>
  <c r="F27" i="10"/>
  <c r="F38" i="10"/>
  <c r="F43" i="10"/>
  <c r="F54" i="10"/>
  <c r="F59" i="10"/>
  <c r="F70" i="10"/>
  <c r="F75" i="10"/>
  <c r="F86" i="10"/>
  <c r="F91" i="10"/>
  <c r="F102" i="10"/>
  <c r="F107" i="10"/>
  <c r="F118" i="10"/>
  <c r="F123" i="10"/>
  <c r="F134" i="10"/>
  <c r="F139" i="10"/>
  <c r="F150" i="10"/>
  <c r="F155" i="10"/>
  <c r="F166" i="10"/>
  <c r="F171" i="10"/>
  <c r="F182" i="10"/>
  <c r="F187" i="10"/>
  <c r="F198" i="10"/>
  <c r="F203" i="10"/>
  <c r="F214" i="10"/>
  <c r="F219" i="10"/>
  <c r="F230" i="10"/>
  <c r="F235" i="10"/>
  <c r="F246" i="10"/>
  <c r="F251" i="10"/>
  <c r="F262" i="10"/>
  <c r="F2" i="10"/>
  <c r="F7" i="10"/>
  <c r="F18" i="10"/>
  <c r="F23" i="10"/>
  <c r="F39" i="10"/>
  <c r="F66" i="10"/>
  <c r="F71" i="10"/>
  <c r="F103" i="10"/>
  <c r="F130" i="10"/>
  <c r="F135" i="10"/>
  <c r="F162" i="10"/>
  <c r="F167" i="10"/>
  <c r="F178" i="10"/>
  <c r="F183" i="10"/>
  <c r="F199" i="10"/>
  <c r="F210" i="10"/>
  <c r="F215" i="10"/>
  <c r="F226" i="10"/>
  <c r="H46" i="10"/>
  <c r="H47" i="10"/>
  <c r="H48" i="10"/>
  <c r="H49" i="10"/>
  <c r="H50" i="10"/>
  <c r="H51" i="10"/>
  <c r="H52" i="10"/>
  <c r="H53" i="10"/>
  <c r="H54" i="10"/>
  <c r="H55" i="10"/>
  <c r="H56" i="10"/>
  <c r="H57" i="10"/>
  <c r="H58" i="10"/>
  <c r="H59" i="10"/>
  <c r="H45" i="10"/>
  <c r="H31" i="10"/>
  <c r="H32" i="10"/>
  <c r="H33" i="10"/>
  <c r="H34" i="10"/>
  <c r="H35" i="10"/>
  <c r="H36" i="10"/>
  <c r="H37" i="10"/>
  <c r="H38" i="10"/>
  <c r="H39" i="10"/>
  <c r="H40" i="10"/>
  <c r="H41" i="10"/>
  <c r="H42" i="10"/>
  <c r="H43" i="10"/>
  <c r="H44" i="10"/>
  <c r="H30" i="10"/>
  <c r="H23" i="10"/>
  <c r="H24" i="10"/>
  <c r="H25" i="10"/>
  <c r="H26" i="10"/>
  <c r="H27" i="10"/>
  <c r="H28" i="10"/>
  <c r="H29" i="10"/>
  <c r="H22" i="10"/>
  <c r="H9" i="10"/>
  <c r="H10" i="10"/>
  <c r="H11" i="10"/>
  <c r="H12" i="10"/>
  <c r="H13" i="10"/>
  <c r="H14" i="10"/>
  <c r="H15" i="10"/>
  <c r="H16" i="10"/>
  <c r="H17" i="10"/>
  <c r="H18" i="10"/>
  <c r="H19" i="10"/>
  <c r="H20" i="10"/>
  <c r="H21" i="10"/>
  <c r="H3" i="10"/>
  <c r="H4" i="10"/>
  <c r="H5" i="10"/>
  <c r="H6" i="10"/>
  <c r="H7" i="10"/>
  <c r="H8" i="10"/>
  <c r="H2" i="10"/>
  <c r="AE4" i="18"/>
  <c r="AF4" i="18" s="1"/>
  <c r="AE3" i="18"/>
  <c r="AF3" i="18" s="1"/>
  <c r="AE2" i="18"/>
  <c r="AF7" i="18" s="1"/>
  <c r="AF6" i="18"/>
  <c r="K2" i="10" l="1" a="1"/>
  <c r="K2" i="10" s="1"/>
  <c r="K14" i="10" a="1"/>
  <c r="K14" i="10" s="1"/>
  <c r="K26" i="10" a="1"/>
  <c r="K26" i="10" s="1"/>
  <c r="K39" i="10" a="1"/>
  <c r="K39" i="10" s="1"/>
  <c r="K52" i="10" a="1"/>
  <c r="K52" i="10" s="1"/>
  <c r="K24" i="10" a="1"/>
  <c r="K24" i="10" s="1"/>
  <c r="K3" i="10" a="1"/>
  <c r="K3" i="10" s="1"/>
  <c r="K27" i="10" a="1"/>
  <c r="K27" i="10" s="1"/>
  <c r="K40" i="10" a="1"/>
  <c r="K40" i="10" s="1"/>
  <c r="K53" i="10" a="1"/>
  <c r="K53" i="10" s="1"/>
  <c r="K11" i="10" a="1"/>
  <c r="K11" i="10" s="1"/>
  <c r="K4" i="10" a="1"/>
  <c r="K4" i="10" s="1"/>
  <c r="K15" i="10" a="1"/>
  <c r="K15" i="10" s="1"/>
  <c r="K28" i="10" a="1"/>
  <c r="K28" i="10" s="1"/>
  <c r="K54" i="10" a="1"/>
  <c r="K54" i="10" s="1"/>
  <c r="K49" i="10" a="1"/>
  <c r="K49" i="10" s="1"/>
  <c r="K51" i="10" a="1"/>
  <c r="K51" i="10" s="1"/>
  <c r="K5" i="10" a="1"/>
  <c r="K5" i="10" s="1"/>
  <c r="K29" i="10" a="1"/>
  <c r="K29" i="10" s="1"/>
  <c r="K41" i="10" a="1"/>
  <c r="K41" i="10" s="1"/>
  <c r="K48" i="10" a="1"/>
  <c r="K48" i="10" s="1"/>
  <c r="K13" i="10" a="1"/>
  <c r="K13" i="10" s="1"/>
  <c r="K6" i="10" a="1"/>
  <c r="K6" i="10" s="1"/>
  <c r="K16" i="10" a="1"/>
  <c r="K16" i="10" s="1"/>
  <c r="K30" i="10" a="1"/>
  <c r="K30" i="10" s="1"/>
  <c r="K42" i="10" a="1"/>
  <c r="K42" i="10" s="1"/>
  <c r="K55" i="10" a="1"/>
  <c r="K55" i="10" s="1"/>
  <c r="K37" i="10" a="1"/>
  <c r="K37" i="10" s="1"/>
  <c r="K17" i="10" a="1"/>
  <c r="K17" i="10" s="1"/>
  <c r="K43" i="10" a="1"/>
  <c r="K43" i="10" s="1"/>
  <c r="K56" i="10" a="1"/>
  <c r="K56" i="10" s="1"/>
  <c r="K10" i="10" a="1"/>
  <c r="K10" i="10" s="1"/>
  <c r="K7" i="10" a="1"/>
  <c r="K7" i="10" s="1"/>
  <c r="K18" i="10" a="1"/>
  <c r="K18" i="10" s="1"/>
  <c r="K31" i="10" a="1"/>
  <c r="K31" i="10" s="1"/>
  <c r="K44" i="10" a="1"/>
  <c r="K44" i="10" s="1"/>
  <c r="K57" i="10" a="1"/>
  <c r="K57" i="10" s="1"/>
  <c r="K38" i="10" a="1"/>
  <c r="K38" i="10" s="1"/>
  <c r="K19" i="10" a="1"/>
  <c r="K19" i="10" s="1"/>
  <c r="K45" i="10" a="1"/>
  <c r="K45" i="10" s="1"/>
  <c r="K58" i="10" a="1"/>
  <c r="K58" i="10" s="1"/>
  <c r="K36" i="10" a="1"/>
  <c r="K36" i="10" s="1"/>
  <c r="K25" i="10" a="1"/>
  <c r="K25" i="10" s="1"/>
  <c r="K8" i="10" a="1"/>
  <c r="K8" i="10" s="1"/>
  <c r="K20" i="10" a="1"/>
  <c r="K20" i="10" s="1"/>
  <c r="K32" i="10" a="1"/>
  <c r="K32" i="10" s="1"/>
  <c r="K46" i="10" a="1"/>
  <c r="K46" i="10" s="1"/>
  <c r="K59" i="10" a="1"/>
  <c r="K59" i="10" s="1"/>
  <c r="K23" i="10" a="1"/>
  <c r="K23" i="10" s="1"/>
  <c r="K50" i="10" a="1"/>
  <c r="K50" i="10" s="1"/>
  <c r="K21" i="10" a="1"/>
  <c r="K21" i="10" s="1"/>
  <c r="K33" i="10" a="1"/>
  <c r="K33" i="10" s="1"/>
  <c r="K1" i="10" a="1"/>
  <c r="K1" i="10" s="1"/>
  <c r="K12" i="10" a="1"/>
  <c r="K12" i="10" s="1"/>
  <c r="K9" i="10" a="1"/>
  <c r="K9" i="10" s="1"/>
  <c r="K22" i="10" a="1"/>
  <c r="K22" i="10" s="1"/>
  <c r="K34" i="10" a="1"/>
  <c r="K34" i="10" s="1"/>
  <c r="K47" i="10" a="1"/>
  <c r="K47" i="10" s="1"/>
  <c r="K35" i="10" a="1"/>
  <c r="K35" i="10" s="1"/>
  <c r="AF2" i="18"/>
  <c r="S3" i="2" l="1"/>
  <c r="Z2" i="18"/>
  <c r="AA4" i="18" s="1"/>
  <c r="BU28" i="18"/>
  <c r="BM2" i="18"/>
  <c r="BN2" i="18" s="1"/>
  <c r="T2" i="18"/>
  <c r="U15" i="18" s="1"/>
  <c r="X2" i="18"/>
  <c r="Y6" i="18" s="1"/>
  <c r="V2" i="18"/>
  <c r="W11" i="18" s="1"/>
  <c r="BO2" i="18" l="1"/>
  <c r="BP2" i="18"/>
  <c r="BQ2" i="18"/>
  <c r="U10" i="18"/>
  <c r="AA11" i="18"/>
  <c r="AA15" i="18"/>
  <c r="AA16" i="18"/>
  <c r="AA17" i="18"/>
  <c r="AA8" i="18"/>
  <c r="AA9" i="18"/>
  <c r="AA12" i="18"/>
  <c r="AA2" i="18"/>
  <c r="AA10" i="18"/>
  <c r="AA14" i="18"/>
  <c r="AA5" i="18"/>
  <c r="AA6" i="18"/>
  <c r="AA3" i="18"/>
  <c r="AA13" i="18"/>
  <c r="AA7" i="18"/>
  <c r="U3" i="18"/>
  <c r="U4" i="18"/>
  <c r="U5" i="18"/>
  <c r="U6" i="18"/>
  <c r="U7" i="18"/>
  <c r="U9" i="18"/>
  <c r="U11" i="18"/>
  <c r="U12" i="18"/>
  <c r="U16" i="18"/>
  <c r="U17" i="18"/>
  <c r="Y2" i="18"/>
  <c r="Y7" i="18"/>
  <c r="Y9" i="18"/>
  <c r="Y11" i="18"/>
  <c r="Y12" i="18"/>
  <c r="Y13" i="18"/>
  <c r="Y14" i="18"/>
  <c r="Y10" i="18"/>
  <c r="Y15" i="18"/>
  <c r="Y16" i="18"/>
  <c r="Y8" i="18"/>
  <c r="Y17" i="18"/>
  <c r="Y3" i="18"/>
  <c r="Y4" i="18"/>
  <c r="Y5" i="18"/>
  <c r="W2" i="18"/>
  <c r="W17" i="18"/>
  <c r="W3" i="18"/>
  <c r="W4" i="18"/>
  <c r="W5" i="18"/>
  <c r="W9" i="18"/>
  <c r="W10" i="18"/>
  <c r="W12" i="18"/>
  <c r="W13" i="18"/>
  <c r="W14" i="18"/>
  <c r="W15" i="18"/>
  <c r="W16" i="18"/>
  <c r="W6" i="18"/>
  <c r="W7" i="18"/>
  <c r="W8" i="18"/>
  <c r="U2" i="18"/>
  <c r="U8" i="18"/>
  <c r="U13" i="18"/>
  <c r="U14" i="18"/>
  <c r="J17" i="28" l="1"/>
  <c r="AD21" i="27" l="1" a="1"/>
  <c r="AD21" i="27" s="1"/>
  <c r="AD20" i="27" a="1"/>
  <c r="AD20" i="27" s="1"/>
  <c r="AD19" i="27" a="1"/>
  <c r="AD19" i="27" s="1"/>
  <c r="AD22" i="27" a="1"/>
  <c r="AD22" i="27" s="1"/>
  <c r="AD47" i="27" a="1"/>
  <c r="AD47" i="27" s="1"/>
  <c r="AD2" i="27" a="1"/>
  <c r="AD2" i="27" s="1"/>
  <c r="AD18" i="27" a="1"/>
  <c r="AD18" i="27" s="1"/>
  <c r="N16" i="27"/>
  <c r="O16" i="27"/>
  <c r="P16" i="27"/>
  <c r="Q16" i="27"/>
  <c r="N17" i="27"/>
  <c r="O17" i="27"/>
  <c r="P17" i="27"/>
  <c r="Q17" i="27"/>
  <c r="N18" i="27"/>
  <c r="O18" i="27"/>
  <c r="P18" i="27"/>
  <c r="Q18" i="27"/>
  <c r="N19" i="27"/>
  <c r="O19" i="27"/>
  <c r="P19" i="27"/>
  <c r="Q19" i="27"/>
  <c r="N20" i="27"/>
  <c r="O20" i="27"/>
  <c r="P20" i="27"/>
  <c r="Q20" i="27"/>
  <c r="N21" i="27"/>
  <c r="O21" i="27"/>
  <c r="P21" i="27"/>
  <c r="Q21" i="27"/>
  <c r="N22" i="27"/>
  <c r="O22" i="27"/>
  <c r="P22" i="27"/>
  <c r="Q22" i="27"/>
  <c r="N23" i="27"/>
  <c r="O23" i="27"/>
  <c r="P23" i="27"/>
  <c r="Q23" i="27"/>
  <c r="M17" i="27"/>
  <c r="M18" i="27"/>
  <c r="M19" i="27"/>
  <c r="M20" i="27"/>
  <c r="M21" i="27"/>
  <c r="M22" i="27"/>
  <c r="M23" i="27"/>
  <c r="O9" i="2"/>
  <c r="I5" i="27" l="1"/>
  <c r="I3" i="27"/>
  <c r="B526" i="24"/>
  <c r="B527" i="24"/>
  <c r="B528" i="24"/>
  <c r="B529" i="24"/>
  <c r="B530" i="24"/>
  <c r="B531" i="24"/>
  <c r="B532" i="24"/>
  <c r="B533" i="24"/>
  <c r="B534" i="24"/>
  <c r="B535" i="24"/>
  <c r="B536" i="24"/>
  <c r="B537" i="24"/>
  <c r="B538" i="24"/>
  <c r="B539" i="24"/>
  <c r="B540" i="24"/>
  <c r="B541" i="24"/>
  <c r="B542" i="24"/>
  <c r="B543" i="24"/>
  <c r="B544" i="24"/>
  <c r="B545" i="24"/>
  <c r="B546" i="24"/>
  <c r="B547" i="24"/>
  <c r="B548" i="24"/>
  <c r="B549" i="24"/>
  <c r="B550" i="24"/>
  <c r="B551" i="24"/>
  <c r="B552" i="24"/>
  <c r="B553" i="24"/>
  <c r="B554" i="24"/>
  <c r="B555" i="24"/>
  <c r="B556" i="24"/>
  <c r="B557" i="24"/>
  <c r="B558" i="24"/>
  <c r="B559" i="24"/>
  <c r="B560" i="24"/>
  <c r="B561" i="24"/>
  <c r="B562" i="24"/>
  <c r="B563" i="24"/>
  <c r="B564" i="24"/>
  <c r="B565" i="24"/>
  <c r="B566" i="24"/>
  <c r="B567" i="24"/>
  <c r="B568" i="24"/>
  <c r="B569" i="24"/>
  <c r="B570" i="24"/>
  <c r="B571" i="24"/>
  <c r="B572" i="24"/>
  <c r="B573" i="24"/>
  <c r="B574" i="24"/>
  <c r="B525" i="24"/>
  <c r="Q7" i="27"/>
  <c r="AM3" i="27"/>
  <c r="AM4" i="27"/>
  <c r="AM5" i="27"/>
  <c r="AM6" i="27"/>
  <c r="AM7" i="27"/>
  <c r="AO7" i="27" s="1"/>
  <c r="AM8" i="27"/>
  <c r="AO8" i="27" s="1"/>
  <c r="AM9" i="27"/>
  <c r="AO9" i="27" s="1"/>
  <c r="AM10" i="27"/>
  <c r="AO10" i="27" s="1"/>
  <c r="AO15" i="27"/>
  <c r="AM2" i="27"/>
  <c r="AB51" i="27"/>
  <c r="N36" i="27"/>
  <c r="O36" i="27"/>
  <c r="P36" i="27"/>
  <c r="Q34" i="27"/>
  <c r="R34" i="27"/>
  <c r="S34" i="27"/>
  <c r="T34" i="27"/>
  <c r="U34" i="27"/>
  <c r="V34" i="27"/>
  <c r="W34" i="27"/>
  <c r="X34" i="27"/>
  <c r="Y34" i="27"/>
  <c r="Z34" i="27"/>
  <c r="AA34" i="27"/>
  <c r="N37" i="27"/>
  <c r="O37" i="27"/>
  <c r="P37" i="27"/>
  <c r="Q35" i="27"/>
  <c r="R35" i="27"/>
  <c r="S35" i="27"/>
  <c r="T35" i="27"/>
  <c r="U35" i="27"/>
  <c r="V35" i="27"/>
  <c r="W35" i="27"/>
  <c r="X35" i="27"/>
  <c r="Y35" i="27"/>
  <c r="Z35" i="27"/>
  <c r="AA35" i="27"/>
  <c r="N38" i="27"/>
  <c r="O38" i="27"/>
  <c r="P38" i="27"/>
  <c r="Q36" i="27"/>
  <c r="R36" i="27"/>
  <c r="S36" i="27"/>
  <c r="T36" i="27"/>
  <c r="U36" i="27"/>
  <c r="V36" i="27"/>
  <c r="W36" i="27"/>
  <c r="X36" i="27"/>
  <c r="Y36" i="27"/>
  <c r="Z36" i="27"/>
  <c r="AA36" i="27"/>
  <c r="N39" i="27"/>
  <c r="O39" i="27"/>
  <c r="P39" i="27"/>
  <c r="Q37" i="27"/>
  <c r="R37" i="27"/>
  <c r="S37" i="27"/>
  <c r="T37" i="27"/>
  <c r="U37" i="27"/>
  <c r="V37" i="27"/>
  <c r="W37" i="27"/>
  <c r="X37" i="27"/>
  <c r="Y37" i="27"/>
  <c r="Z37" i="27"/>
  <c r="AA37" i="27"/>
  <c r="N40" i="27"/>
  <c r="O40" i="27"/>
  <c r="P40" i="27"/>
  <c r="Q38" i="27"/>
  <c r="R38" i="27"/>
  <c r="S38" i="27"/>
  <c r="T38" i="27"/>
  <c r="U38" i="27"/>
  <c r="V38" i="27"/>
  <c r="W38" i="27"/>
  <c r="X38" i="27"/>
  <c r="Y38" i="27"/>
  <c r="Z38" i="27"/>
  <c r="AA38" i="27"/>
  <c r="N41" i="27"/>
  <c r="O41" i="27"/>
  <c r="P41" i="27"/>
  <c r="Q39" i="27"/>
  <c r="R39" i="27"/>
  <c r="S39" i="27"/>
  <c r="T39" i="27"/>
  <c r="U39" i="27"/>
  <c r="V39" i="27"/>
  <c r="W39" i="27"/>
  <c r="X39" i="27"/>
  <c r="Y39" i="27"/>
  <c r="Z39" i="27"/>
  <c r="AA39" i="27"/>
  <c r="N42" i="27"/>
  <c r="O42" i="27"/>
  <c r="P42" i="27"/>
  <c r="Q40" i="27"/>
  <c r="R40" i="27"/>
  <c r="S40" i="27"/>
  <c r="T40" i="27"/>
  <c r="U40" i="27"/>
  <c r="V40" i="27"/>
  <c r="W40" i="27"/>
  <c r="X40" i="27"/>
  <c r="Y40" i="27"/>
  <c r="Z40" i="27"/>
  <c r="AA40" i="27"/>
  <c r="N43" i="27"/>
  <c r="O43" i="27"/>
  <c r="P43" i="27"/>
  <c r="Q41" i="27"/>
  <c r="R41" i="27"/>
  <c r="S41" i="27"/>
  <c r="T41" i="27"/>
  <c r="U41" i="27"/>
  <c r="V41" i="27"/>
  <c r="W41" i="27"/>
  <c r="X41" i="27"/>
  <c r="Y41" i="27"/>
  <c r="Z41" i="27"/>
  <c r="AA41" i="27"/>
  <c r="N44" i="27"/>
  <c r="O44" i="27"/>
  <c r="P44" i="27"/>
  <c r="Q42" i="27"/>
  <c r="R42" i="27"/>
  <c r="S42" i="27"/>
  <c r="T42" i="27"/>
  <c r="U42" i="27"/>
  <c r="V42" i="27"/>
  <c r="W42" i="27"/>
  <c r="X42" i="27"/>
  <c r="Y42" i="27"/>
  <c r="Z42" i="27"/>
  <c r="AA42" i="27"/>
  <c r="N45" i="27"/>
  <c r="O45" i="27"/>
  <c r="P45" i="27"/>
  <c r="Q43" i="27"/>
  <c r="R43" i="27"/>
  <c r="S43" i="27"/>
  <c r="T43" i="27"/>
  <c r="U43" i="27"/>
  <c r="V43" i="27"/>
  <c r="W43" i="27"/>
  <c r="X43" i="27"/>
  <c r="Y43" i="27"/>
  <c r="Z43" i="27"/>
  <c r="AA43" i="27"/>
  <c r="N46" i="27"/>
  <c r="O46" i="27"/>
  <c r="P46" i="27"/>
  <c r="Q44" i="27"/>
  <c r="R44" i="27"/>
  <c r="S44" i="27"/>
  <c r="T44" i="27"/>
  <c r="U44" i="27"/>
  <c r="V44" i="27"/>
  <c r="W44" i="27"/>
  <c r="X44" i="27"/>
  <c r="Y44" i="27"/>
  <c r="Z44" i="27"/>
  <c r="AA44" i="27"/>
  <c r="N47" i="27"/>
  <c r="O47" i="27"/>
  <c r="P47" i="27"/>
  <c r="Q45" i="27"/>
  <c r="R45" i="27"/>
  <c r="S45" i="27"/>
  <c r="T45" i="27"/>
  <c r="U45" i="27"/>
  <c r="V45" i="27"/>
  <c r="W45" i="27"/>
  <c r="X45" i="27"/>
  <c r="Y45" i="27"/>
  <c r="Z45" i="27"/>
  <c r="AA45" i="27"/>
  <c r="Q46" i="27"/>
  <c r="R46" i="27"/>
  <c r="S46" i="27"/>
  <c r="T46" i="27"/>
  <c r="U46" i="27"/>
  <c r="V46" i="27"/>
  <c r="W46" i="27"/>
  <c r="X46" i="27"/>
  <c r="Y46" i="27"/>
  <c r="Z46" i="27"/>
  <c r="AA46" i="27"/>
  <c r="Q47" i="27"/>
  <c r="R47" i="27"/>
  <c r="S47" i="27"/>
  <c r="T47" i="27"/>
  <c r="U47" i="27"/>
  <c r="V47" i="27"/>
  <c r="W47" i="27"/>
  <c r="X47" i="27"/>
  <c r="Y47" i="27"/>
  <c r="Z47" i="27"/>
  <c r="AA47" i="27"/>
  <c r="N48" i="27"/>
  <c r="O48" i="27"/>
  <c r="P48" i="27"/>
  <c r="Q48" i="27"/>
  <c r="R48" i="27"/>
  <c r="S48" i="27"/>
  <c r="T48" i="27"/>
  <c r="U48" i="27"/>
  <c r="V48" i="27"/>
  <c r="W48" i="27"/>
  <c r="X48" i="27"/>
  <c r="Y48" i="27"/>
  <c r="Z48" i="27"/>
  <c r="AA48" i="27"/>
  <c r="N49" i="27"/>
  <c r="O49" i="27"/>
  <c r="P49" i="27"/>
  <c r="Q49" i="27"/>
  <c r="R49" i="27"/>
  <c r="S49" i="27"/>
  <c r="T49" i="27"/>
  <c r="U49" i="27"/>
  <c r="V49" i="27"/>
  <c r="W49" i="27"/>
  <c r="X49" i="27"/>
  <c r="Y49" i="27"/>
  <c r="Z49" i="27"/>
  <c r="AA49" i="27"/>
  <c r="N50" i="27"/>
  <c r="O50" i="27"/>
  <c r="P50" i="27"/>
  <c r="Q50" i="27"/>
  <c r="R50" i="27"/>
  <c r="S50" i="27"/>
  <c r="T50" i="27"/>
  <c r="U50" i="27"/>
  <c r="V50" i="27"/>
  <c r="W50" i="27"/>
  <c r="X50" i="27"/>
  <c r="Y50" i="27"/>
  <c r="Z50" i="27"/>
  <c r="AA50" i="27"/>
  <c r="N51" i="27"/>
  <c r="O51" i="27"/>
  <c r="P51" i="27"/>
  <c r="Q51" i="27"/>
  <c r="R51" i="27"/>
  <c r="S51" i="27"/>
  <c r="T51" i="27"/>
  <c r="U51" i="27"/>
  <c r="V51" i="27"/>
  <c r="W51" i="27"/>
  <c r="X51" i="27"/>
  <c r="Y51" i="27"/>
  <c r="Z51" i="27"/>
  <c r="AA51" i="27"/>
  <c r="M51" i="27"/>
  <c r="M50" i="27"/>
  <c r="M49" i="27"/>
  <c r="M48" i="27"/>
  <c r="M47" i="27"/>
  <c r="M46" i="27"/>
  <c r="M45" i="27"/>
  <c r="M44" i="27"/>
  <c r="M43" i="27"/>
  <c r="M42" i="27"/>
  <c r="M41" i="27"/>
  <c r="M40" i="27"/>
  <c r="M39" i="27"/>
  <c r="M38" i="27"/>
  <c r="M37" i="27"/>
  <c r="M36" i="27"/>
  <c r="R33" i="27"/>
  <c r="S33" i="27"/>
  <c r="T33" i="27"/>
  <c r="U33" i="27"/>
  <c r="V33" i="27"/>
  <c r="W33" i="27"/>
  <c r="X33" i="27"/>
  <c r="Y33" i="27"/>
  <c r="Z33" i="27"/>
  <c r="AA33" i="27"/>
  <c r="Q33" i="27"/>
  <c r="N25" i="27"/>
  <c r="O25" i="27"/>
  <c r="P25" i="27"/>
  <c r="R23" i="27"/>
  <c r="S23" i="27"/>
  <c r="T23" i="27"/>
  <c r="U23" i="27"/>
  <c r="V23" i="27"/>
  <c r="W23" i="27"/>
  <c r="X23" i="27"/>
  <c r="Y23" i="27"/>
  <c r="Z23" i="27"/>
  <c r="AA23" i="27"/>
  <c r="N26" i="27"/>
  <c r="O26" i="27"/>
  <c r="P26" i="27"/>
  <c r="Q24" i="27"/>
  <c r="R24" i="27"/>
  <c r="S24" i="27"/>
  <c r="T24" i="27"/>
  <c r="U24" i="27"/>
  <c r="V24" i="27"/>
  <c r="W24" i="27"/>
  <c r="X24" i="27"/>
  <c r="Y24" i="27"/>
  <c r="Z24" i="27"/>
  <c r="AA24" i="27"/>
  <c r="N27" i="27"/>
  <c r="O27" i="27"/>
  <c r="P27" i="27"/>
  <c r="Q25" i="27"/>
  <c r="R25" i="27"/>
  <c r="S25" i="27"/>
  <c r="T25" i="27"/>
  <c r="U25" i="27"/>
  <c r="V25" i="27"/>
  <c r="W25" i="27"/>
  <c r="X25" i="27"/>
  <c r="Y25" i="27"/>
  <c r="Z25" i="27"/>
  <c r="AA25" i="27"/>
  <c r="N28" i="27"/>
  <c r="O28" i="27"/>
  <c r="P28" i="27"/>
  <c r="Q26" i="27"/>
  <c r="R26" i="27"/>
  <c r="S26" i="27"/>
  <c r="T26" i="27"/>
  <c r="U26" i="27"/>
  <c r="V26" i="27"/>
  <c r="W26" i="27"/>
  <c r="X26" i="27"/>
  <c r="Y26" i="27"/>
  <c r="Z26" i="27"/>
  <c r="AA26" i="27"/>
  <c r="N29" i="27"/>
  <c r="O29" i="27"/>
  <c r="P29" i="27"/>
  <c r="Q27" i="27"/>
  <c r="R27" i="27"/>
  <c r="S27" i="27"/>
  <c r="T27" i="27"/>
  <c r="U27" i="27"/>
  <c r="V27" i="27"/>
  <c r="W27" i="27"/>
  <c r="X27" i="27"/>
  <c r="Y27" i="27"/>
  <c r="Z27" i="27"/>
  <c r="AA27" i="27"/>
  <c r="N30" i="27"/>
  <c r="O30" i="27"/>
  <c r="P30" i="27"/>
  <c r="Q28" i="27"/>
  <c r="R28" i="27"/>
  <c r="S28" i="27"/>
  <c r="T28" i="27"/>
  <c r="U28" i="27"/>
  <c r="V28" i="27"/>
  <c r="W28" i="27"/>
  <c r="X28" i="27"/>
  <c r="Y28" i="27"/>
  <c r="Z28" i="27"/>
  <c r="AA28" i="27"/>
  <c r="N31" i="27"/>
  <c r="O31" i="27"/>
  <c r="P31" i="27"/>
  <c r="Q29" i="27"/>
  <c r="R29" i="27"/>
  <c r="S29" i="27"/>
  <c r="T29" i="27"/>
  <c r="U29" i="27"/>
  <c r="V29" i="27"/>
  <c r="W29" i="27"/>
  <c r="X29" i="27"/>
  <c r="Y29" i="27"/>
  <c r="Z29" i="27"/>
  <c r="AA29" i="27"/>
  <c r="N32" i="27"/>
  <c r="O32" i="27"/>
  <c r="P32" i="27"/>
  <c r="Q30" i="27"/>
  <c r="R30" i="27"/>
  <c r="S30" i="27"/>
  <c r="T30" i="27"/>
  <c r="U30" i="27"/>
  <c r="V30" i="27"/>
  <c r="W30" i="27"/>
  <c r="X30" i="27"/>
  <c r="Y30" i="27"/>
  <c r="Z30" i="27"/>
  <c r="AA30" i="27"/>
  <c r="N33" i="27"/>
  <c r="O33" i="27"/>
  <c r="P33" i="27"/>
  <c r="Q31" i="27"/>
  <c r="R31" i="27"/>
  <c r="S31" i="27"/>
  <c r="T31" i="27"/>
  <c r="U31" i="27"/>
  <c r="V31" i="27"/>
  <c r="W31" i="27"/>
  <c r="X31" i="27"/>
  <c r="Y31" i="27"/>
  <c r="Z31" i="27"/>
  <c r="AA31" i="27"/>
  <c r="N34" i="27"/>
  <c r="O34" i="27"/>
  <c r="P34" i="27"/>
  <c r="Q32" i="27"/>
  <c r="R32" i="27"/>
  <c r="S32" i="27"/>
  <c r="T32" i="27"/>
  <c r="U32" i="27"/>
  <c r="V32" i="27"/>
  <c r="W32" i="27"/>
  <c r="X32" i="27"/>
  <c r="Y32" i="27"/>
  <c r="Z32" i="27"/>
  <c r="AA32" i="27"/>
  <c r="M34" i="27"/>
  <c r="M33" i="27"/>
  <c r="M32" i="27"/>
  <c r="M31" i="27"/>
  <c r="M30" i="27"/>
  <c r="M29" i="27"/>
  <c r="M28" i="27"/>
  <c r="M27" i="27"/>
  <c r="M26" i="27"/>
  <c r="M25" i="27"/>
  <c r="AA22" i="27"/>
  <c r="P24" i="27"/>
  <c r="R22" i="27"/>
  <c r="S22" i="27"/>
  <c r="T22" i="27"/>
  <c r="U22" i="27"/>
  <c r="V22" i="27"/>
  <c r="W22" i="27"/>
  <c r="X22" i="27"/>
  <c r="Y22" i="27"/>
  <c r="Z22" i="27"/>
  <c r="O24" i="27"/>
  <c r="R19" i="27"/>
  <c r="S19" i="27"/>
  <c r="T19" i="27"/>
  <c r="U19" i="27"/>
  <c r="V19" i="27"/>
  <c r="W19" i="27"/>
  <c r="X19" i="27"/>
  <c r="Y19" i="27"/>
  <c r="Z19" i="27"/>
  <c r="AA19" i="27"/>
  <c r="R20" i="27"/>
  <c r="S20" i="27"/>
  <c r="T20" i="27"/>
  <c r="U20" i="27"/>
  <c r="V20" i="27"/>
  <c r="W20" i="27"/>
  <c r="X20" i="27"/>
  <c r="Y20" i="27"/>
  <c r="Z20" i="27"/>
  <c r="AA20" i="27"/>
  <c r="R21" i="27"/>
  <c r="S21" i="27"/>
  <c r="T21" i="27"/>
  <c r="U21" i="27"/>
  <c r="V21" i="27"/>
  <c r="W21" i="27"/>
  <c r="X21" i="27"/>
  <c r="Y21" i="27"/>
  <c r="Z21" i="27"/>
  <c r="AA21" i="27"/>
  <c r="R18" i="27"/>
  <c r="S18" i="27"/>
  <c r="T18" i="27"/>
  <c r="U18" i="27"/>
  <c r="V18" i="27"/>
  <c r="W18" i="27"/>
  <c r="X18" i="27"/>
  <c r="Y18" i="27"/>
  <c r="Z18" i="27"/>
  <c r="AA18" i="27"/>
  <c r="R17" i="27"/>
  <c r="S17" i="27"/>
  <c r="T17" i="27"/>
  <c r="U17" i="27"/>
  <c r="V17" i="27"/>
  <c r="W17" i="27"/>
  <c r="X17" i="27"/>
  <c r="Y17" i="27"/>
  <c r="Z17" i="27"/>
  <c r="AA17" i="27"/>
  <c r="R16" i="27"/>
  <c r="S16" i="27"/>
  <c r="T16" i="27"/>
  <c r="U16" i="27"/>
  <c r="V16" i="27"/>
  <c r="W16" i="27"/>
  <c r="X16" i="27"/>
  <c r="Y16" i="27"/>
  <c r="Z16" i="27"/>
  <c r="AA16" i="27"/>
  <c r="M16" i="27"/>
  <c r="N15" i="27"/>
  <c r="O15" i="27"/>
  <c r="P15" i="27"/>
  <c r="Q15" i="27"/>
  <c r="R15" i="27"/>
  <c r="S15" i="27"/>
  <c r="T15" i="27"/>
  <c r="U15" i="27"/>
  <c r="V15" i="27"/>
  <c r="W15" i="27"/>
  <c r="X15" i="27"/>
  <c r="Y15" i="27"/>
  <c r="Z15" i="27"/>
  <c r="AA15" i="27"/>
  <c r="M15" i="27"/>
  <c r="N14" i="27"/>
  <c r="O14" i="27"/>
  <c r="P14" i="27"/>
  <c r="Q14" i="27"/>
  <c r="R14" i="27"/>
  <c r="S14" i="27"/>
  <c r="T14" i="27"/>
  <c r="U14" i="27"/>
  <c r="V14" i="27"/>
  <c r="W14" i="27"/>
  <c r="X14" i="27"/>
  <c r="Y14" i="27"/>
  <c r="Z14" i="27"/>
  <c r="AA14" i="27"/>
  <c r="M14" i="27"/>
  <c r="N13" i="27"/>
  <c r="O13" i="27"/>
  <c r="P13" i="27"/>
  <c r="Q13" i="27"/>
  <c r="R13" i="27"/>
  <c r="S13" i="27"/>
  <c r="T13" i="27"/>
  <c r="U13" i="27"/>
  <c r="V13" i="27"/>
  <c r="W13" i="27"/>
  <c r="X13" i="27"/>
  <c r="Y13" i="27"/>
  <c r="Z13" i="27"/>
  <c r="AA13" i="27"/>
  <c r="M13" i="27"/>
  <c r="N12" i="27"/>
  <c r="O12" i="27"/>
  <c r="P12" i="27"/>
  <c r="Q12" i="27"/>
  <c r="R12" i="27"/>
  <c r="S12" i="27"/>
  <c r="T12" i="27"/>
  <c r="U12" i="27"/>
  <c r="V12" i="27"/>
  <c r="W12" i="27"/>
  <c r="X12" i="27"/>
  <c r="Y12" i="27"/>
  <c r="Z12" i="27"/>
  <c r="AA12" i="27"/>
  <c r="M12" i="27"/>
  <c r="N11" i="27"/>
  <c r="O11" i="27"/>
  <c r="P11" i="27"/>
  <c r="Q11" i="27"/>
  <c r="R11" i="27"/>
  <c r="S11" i="27"/>
  <c r="T11" i="27"/>
  <c r="U11" i="27"/>
  <c r="V11" i="27"/>
  <c r="W11" i="27"/>
  <c r="X11" i="27"/>
  <c r="Y11" i="27"/>
  <c r="Z11" i="27"/>
  <c r="AA11" i="27"/>
  <c r="M11" i="27"/>
  <c r="W10" i="27"/>
  <c r="X10" i="27"/>
  <c r="Y10" i="27"/>
  <c r="Z10" i="27"/>
  <c r="AA10" i="27"/>
  <c r="V10" i="27"/>
  <c r="O9" i="27"/>
  <c r="P9" i="27"/>
  <c r="Q9" i="27"/>
  <c r="R9" i="27"/>
  <c r="S9" i="27"/>
  <c r="T9" i="27"/>
  <c r="U9" i="27"/>
  <c r="V9" i="27"/>
  <c r="W9" i="27"/>
  <c r="X9" i="27"/>
  <c r="Y9" i="27"/>
  <c r="Z9" i="27"/>
  <c r="AA9" i="27"/>
  <c r="N9" i="27"/>
  <c r="U8" i="27"/>
  <c r="V8" i="27"/>
  <c r="W8" i="27"/>
  <c r="X8" i="27"/>
  <c r="Y8" i="27"/>
  <c r="Z8" i="27"/>
  <c r="AA8" i="27"/>
  <c r="T8" i="27"/>
  <c r="S7" i="27"/>
  <c r="T7" i="27"/>
  <c r="U7" i="27"/>
  <c r="V7" i="27"/>
  <c r="W7" i="27"/>
  <c r="X7" i="27"/>
  <c r="Y7" i="27"/>
  <c r="Z7" i="27"/>
  <c r="AA7" i="27"/>
  <c r="R7" i="27"/>
  <c r="S6" i="27"/>
  <c r="T6" i="27"/>
  <c r="U6" i="27"/>
  <c r="V6" i="27"/>
  <c r="W6" i="27"/>
  <c r="X6" i="27"/>
  <c r="Y6" i="27"/>
  <c r="Z6" i="27"/>
  <c r="AA6" i="27"/>
  <c r="R6" i="27"/>
  <c r="T5" i="27"/>
  <c r="U5" i="27"/>
  <c r="V5" i="27"/>
  <c r="W5" i="27"/>
  <c r="X5" i="27"/>
  <c r="Y5" i="27"/>
  <c r="Z5" i="27"/>
  <c r="AA5" i="27"/>
  <c r="S5" i="27"/>
  <c r="T4" i="27"/>
  <c r="U4" i="27"/>
  <c r="V4" i="27"/>
  <c r="W4" i="27"/>
  <c r="X4" i="27"/>
  <c r="Y4" i="27"/>
  <c r="Z4" i="27"/>
  <c r="AA4" i="27"/>
  <c r="AB4" i="27"/>
  <c r="S4" i="27"/>
  <c r="AB3" i="27"/>
  <c r="AB5" i="27"/>
  <c r="AB6" i="27"/>
  <c r="AB7" i="27"/>
  <c r="AB8" i="27"/>
  <c r="AB9" i="27"/>
  <c r="AB10" i="27"/>
  <c r="AB11" i="27"/>
  <c r="AB12" i="27"/>
  <c r="AB13" i="27"/>
  <c r="AB14" i="27"/>
  <c r="AB15" i="27"/>
  <c r="AB16" i="27"/>
  <c r="AB17" i="27"/>
  <c r="AB18" i="27"/>
  <c r="AB19" i="27"/>
  <c r="AB20" i="27"/>
  <c r="AB21" i="27"/>
  <c r="AB22" i="27"/>
  <c r="AB23" i="27"/>
  <c r="AB24" i="27"/>
  <c r="AB25" i="27"/>
  <c r="AB26" i="27"/>
  <c r="AB27" i="27"/>
  <c r="AB28" i="27"/>
  <c r="AB29" i="27"/>
  <c r="AB30" i="27"/>
  <c r="AB31" i="27"/>
  <c r="AB32" i="27"/>
  <c r="AB33" i="27"/>
  <c r="AB34" i="27"/>
  <c r="AB35" i="27"/>
  <c r="AB36" i="27"/>
  <c r="AB37" i="27"/>
  <c r="AB38" i="27"/>
  <c r="AB39" i="27"/>
  <c r="AB40" i="27"/>
  <c r="AB41" i="27"/>
  <c r="AB42" i="27"/>
  <c r="AB43" i="27"/>
  <c r="AB44" i="27"/>
  <c r="AB45" i="27"/>
  <c r="AB46" i="27"/>
  <c r="AB47" i="27"/>
  <c r="AB48" i="27"/>
  <c r="AB49" i="27"/>
  <c r="AB50" i="27"/>
  <c r="AB2" i="27"/>
  <c r="W3" i="27"/>
  <c r="X3" i="27"/>
  <c r="Y3" i="27"/>
  <c r="Z3" i="27"/>
  <c r="AA3" i="27"/>
  <c r="R2" i="27"/>
  <c r="S2" i="27"/>
  <c r="T2" i="27"/>
  <c r="U2" i="27"/>
  <c r="V2" i="27"/>
  <c r="W2" i="27"/>
  <c r="X2" i="27"/>
  <c r="Y2" i="27"/>
  <c r="Z2" i="27"/>
  <c r="AA2" i="27"/>
  <c r="V3" i="27"/>
  <c r="Q2" i="27"/>
  <c r="AG4" i="27"/>
  <c r="D52" i="27" s="1"/>
  <c r="AG3" i="27"/>
  <c r="AG2" i="27"/>
  <c r="AD3" i="27" a="1"/>
  <c r="AD3" i="27" s="1"/>
  <c r="G80" i="27"/>
  <c r="G71" i="27"/>
  <c r="G66" i="27"/>
  <c r="G56" i="27"/>
  <c r="G55" i="27"/>
  <c r="G54" i="27"/>
  <c r="G53" i="27"/>
  <c r="G52" i="27"/>
  <c r="G51" i="27"/>
  <c r="G50" i="27"/>
  <c r="G49" i="27"/>
  <c r="G48" i="27"/>
  <c r="AD51" i="27" a="1"/>
  <c r="AD51" i="27" s="1"/>
  <c r="G46" i="27"/>
  <c r="F46" i="27"/>
  <c r="AD50" i="27" a="1"/>
  <c r="AD50" i="27" s="1"/>
  <c r="AD49" i="27" a="1"/>
  <c r="AD49" i="27" s="1"/>
  <c r="G44" i="27"/>
  <c r="G43" i="27"/>
  <c r="G42" i="27"/>
  <c r="F42" i="27"/>
  <c r="AD48" i="27" a="1"/>
  <c r="AD48" i="27" s="1"/>
  <c r="G41" i="27"/>
  <c r="F41" i="27"/>
  <c r="AD46" i="27" a="1"/>
  <c r="AD46" i="27" s="1"/>
  <c r="G39" i="27"/>
  <c r="G40" i="27" s="1"/>
  <c r="F39" i="27"/>
  <c r="F40" i="27" s="1"/>
  <c r="AD45" i="27" a="1"/>
  <c r="AD45" i="27" s="1"/>
  <c r="G38" i="27"/>
  <c r="F38" i="27"/>
  <c r="AD44" i="27" a="1"/>
  <c r="AD44" i="27" s="1"/>
  <c r="AD43" i="27" a="1"/>
  <c r="AD43" i="27" s="1"/>
  <c r="G36" i="27"/>
  <c r="AD42" i="27" a="1"/>
  <c r="AD42" i="27" s="1"/>
  <c r="G35" i="27"/>
  <c r="AD41" i="27" a="1"/>
  <c r="AD41" i="27" s="1"/>
  <c r="G34" i="27"/>
  <c r="AD40" i="27" a="1"/>
  <c r="AD40" i="27" s="1"/>
  <c r="AD39" i="27" a="1"/>
  <c r="AD39" i="27" s="1"/>
  <c r="G32" i="27"/>
  <c r="AD38" i="27" a="1"/>
  <c r="AD38" i="27" s="1"/>
  <c r="G31" i="27"/>
  <c r="AD37" i="27" a="1"/>
  <c r="AD37" i="27" s="1"/>
  <c r="G30" i="27"/>
  <c r="AD36" i="27" a="1"/>
  <c r="AD36" i="27" s="1"/>
  <c r="G29" i="27"/>
  <c r="AD35" i="27" a="1"/>
  <c r="AD35" i="27" s="1"/>
  <c r="G28" i="27"/>
  <c r="AD34" i="27" a="1"/>
  <c r="AD34" i="27" s="1"/>
  <c r="AD33" i="27" a="1"/>
  <c r="AD33" i="27" s="1"/>
  <c r="AD32" i="27" a="1"/>
  <c r="AD32" i="27" s="1"/>
  <c r="AD31" i="27" a="1"/>
  <c r="AD31" i="27" s="1"/>
  <c r="AD30" i="27" a="1"/>
  <c r="AD30" i="27" s="1"/>
  <c r="AD29" i="27" a="1"/>
  <c r="AD29" i="27" s="1"/>
  <c r="G26" i="27"/>
  <c r="AD28" i="27" a="1"/>
  <c r="AD28" i="27" s="1"/>
  <c r="G25" i="27"/>
  <c r="AD27" i="27" a="1"/>
  <c r="AD27" i="27" s="1"/>
  <c r="G24" i="27"/>
  <c r="AD26" i="27" a="1"/>
  <c r="AD26" i="27" s="1"/>
  <c r="G23" i="27"/>
  <c r="AD25" i="27" a="1"/>
  <c r="AD25" i="27" s="1"/>
  <c r="G22" i="27"/>
  <c r="AD24" i="27" a="1"/>
  <c r="AD24" i="27" s="1"/>
  <c r="G21" i="27"/>
  <c r="AD23" i="27" a="1"/>
  <c r="AD23" i="27" s="1"/>
  <c r="G19" i="27"/>
  <c r="G18" i="27"/>
  <c r="G17" i="27"/>
  <c r="AD17" i="27" a="1"/>
  <c r="AD17" i="27" s="1"/>
  <c r="G16" i="27"/>
  <c r="AD16" i="27" a="1"/>
  <c r="AD16" i="27" s="1"/>
  <c r="G15" i="27"/>
  <c r="AD15" i="27" a="1"/>
  <c r="AD15" i="27" s="1"/>
  <c r="AD14" i="27" a="1"/>
  <c r="AD14" i="27" s="1"/>
  <c r="G13" i="27"/>
  <c r="AD13" i="27" a="1"/>
  <c r="AD13" i="27" s="1"/>
  <c r="G12" i="27"/>
  <c r="AD12" i="27" a="1"/>
  <c r="AD12" i="27" s="1"/>
  <c r="G11" i="27"/>
  <c r="AD11" i="27" a="1"/>
  <c r="AD11" i="27" s="1"/>
  <c r="G10" i="27"/>
  <c r="AD10" i="27" a="1"/>
  <c r="AD10" i="27" s="1"/>
  <c r="G9" i="27"/>
  <c r="AD9" i="27" a="1"/>
  <c r="AD9" i="27" s="1"/>
  <c r="G8" i="27"/>
  <c r="AD8" i="27" a="1"/>
  <c r="AD8" i="27" s="1"/>
  <c r="G7" i="27"/>
  <c r="AD7" i="27" a="1"/>
  <c r="AD7" i="27" s="1"/>
  <c r="AD6" i="27" a="1"/>
  <c r="AD6" i="27" s="1"/>
  <c r="G5" i="27"/>
  <c r="AD5" i="27" a="1"/>
  <c r="AD5" i="27" s="1"/>
  <c r="G4" i="27"/>
  <c r="AD4" i="27" a="1"/>
  <c r="AD4" i="27" s="1"/>
  <c r="G3" i="27"/>
  <c r="G85" i="27"/>
  <c r="F85" i="27"/>
  <c r="G84" i="27"/>
  <c r="F84" i="27"/>
  <c r="G83" i="27"/>
  <c r="F83" i="27"/>
  <c r="F66" i="27"/>
  <c r="F65" i="27"/>
  <c r="F32" i="27"/>
  <c r="F31" i="27"/>
  <c r="F11" i="27"/>
  <c r="F10" i="27"/>
  <c r="AK4" i="27" l="1"/>
  <c r="AK6" i="27"/>
  <c r="AK5" i="27"/>
  <c r="AK3" i="27"/>
  <c r="AN20" i="27"/>
  <c r="U66" i="27" s="1"/>
  <c r="AN19" i="27"/>
  <c r="S66" i="27" s="1"/>
  <c r="AK2" i="27"/>
  <c r="D62" i="27"/>
  <c r="D40" i="27"/>
  <c r="AN23" i="27"/>
  <c r="R72" i="27" s="1"/>
  <c r="AN18" i="27"/>
  <c r="R66" i="27" s="1"/>
  <c r="D36" i="27"/>
  <c r="D35" i="27"/>
  <c r="D34" i="27"/>
  <c r="D51" i="27"/>
  <c r="AI4" i="27"/>
  <c r="AO4" i="27"/>
  <c r="AO5" i="27"/>
  <c r="AN22" i="27"/>
  <c r="R70" i="27" s="1"/>
  <c r="AN25" i="27"/>
  <c r="S114" i="27" s="1"/>
  <c r="AO21" i="27"/>
  <c r="AN21" i="27"/>
  <c r="AO19" i="27"/>
  <c r="AN24" i="27"/>
  <c r="P92" i="27" s="1"/>
  <c r="AO2" i="27"/>
  <c r="AO6" i="27"/>
  <c r="AO3" i="27"/>
  <c r="D26" i="27"/>
  <c r="D50" i="27"/>
  <c r="C26" i="27"/>
  <c r="AE2" i="27"/>
  <c r="AE3" i="27" s="1"/>
  <c r="AJ3" i="27"/>
  <c r="D81" i="27"/>
  <c r="D87" i="27"/>
  <c r="D5" i="27"/>
  <c r="AF18" i="27"/>
  <c r="D31" i="27"/>
  <c r="D42" i="27"/>
  <c r="AJ4" i="27"/>
  <c r="AH3" i="27"/>
  <c r="C51" i="27"/>
  <c r="AG11" i="27" l="1"/>
  <c r="AG12" i="27" s="1"/>
  <c r="AG13" i="27" s="1"/>
  <c r="AJ11" i="27"/>
  <c r="S72" i="27"/>
  <c r="O106" i="27"/>
  <c r="T72" i="27"/>
  <c r="Q92" i="27"/>
  <c r="Q106" i="27"/>
  <c r="O92" i="27"/>
  <c r="P70" i="27"/>
  <c r="R106" i="27"/>
  <c r="O70" i="27"/>
  <c r="P66" i="27"/>
  <c r="S106" i="27"/>
  <c r="AO17" i="27"/>
  <c r="R114" i="27"/>
  <c r="Q114" i="27"/>
  <c r="T66" i="27"/>
  <c r="Q66" i="27"/>
  <c r="P114" i="27"/>
  <c r="Q70" i="27"/>
  <c r="T106" i="27"/>
  <c r="AN17" i="27"/>
  <c r="O66" i="27"/>
  <c r="AE12" i="27"/>
  <c r="AE9" i="27"/>
  <c r="AE6" i="27"/>
  <c r="AE11" i="27"/>
  <c r="AE4" i="27"/>
  <c r="AE10" i="27"/>
  <c r="AE7" i="27"/>
  <c r="AE5" i="27"/>
  <c r="AE8" i="27"/>
  <c r="P106" i="27"/>
  <c r="V66" i="27"/>
  <c r="AN16" i="27"/>
  <c r="AH4" i="27"/>
  <c r="AI11" i="27" l="1"/>
  <c r="AH11" i="27"/>
  <c r="AE18" i="27"/>
  <c r="AI7" i="27" s="1"/>
  <c r="AF6" i="27" a="1"/>
  <c r="AF6" i="27" s="1"/>
  <c r="AF12" i="27" a="1"/>
  <c r="AF12" i="27" s="1"/>
  <c r="AF5" i="27" a="1"/>
  <c r="AF5" i="27" s="1"/>
  <c r="AF7" i="27" a="1"/>
  <c r="AF7" i="27" s="1"/>
  <c r="AF14" i="27" a="1"/>
  <c r="AF14" i="27" s="1"/>
  <c r="AF4" i="27" a="1"/>
  <c r="AF4" i="27" s="1"/>
  <c r="AF8" i="27" a="1"/>
  <c r="AF8" i="27" s="1"/>
  <c r="AF10" i="27" a="1"/>
  <c r="AF10" i="27" s="1"/>
  <c r="AF13" i="27" a="1"/>
  <c r="AF13" i="27" s="1"/>
  <c r="AF2" i="27" a="1"/>
  <c r="AF2" i="27" s="1"/>
  <c r="AF3" i="27" a="1"/>
  <c r="AF3" i="27" s="1"/>
  <c r="AF9" i="27" a="1"/>
  <c r="AF9" i="27" s="1"/>
  <c r="AF11" i="27" a="1"/>
  <c r="AF11" i="27" s="1"/>
  <c r="AJ12" i="27"/>
  <c r="BU22" i="18"/>
  <c r="BU23" i="18"/>
  <c r="BU24" i="18"/>
  <c r="BU25" i="18"/>
  <c r="BU26" i="18"/>
  <c r="BU27" i="18"/>
  <c r="D230" i="18"/>
  <c r="E230" i="18" s="1"/>
  <c r="D229" i="18"/>
  <c r="E229" i="18" s="1"/>
  <c r="D228" i="18"/>
  <c r="E228" i="18" s="1"/>
  <c r="D227" i="18"/>
  <c r="E227" i="18" s="1"/>
  <c r="D226" i="18"/>
  <c r="E226" i="18" s="1"/>
  <c r="D225" i="18"/>
  <c r="E225" i="18" s="1"/>
  <c r="D224" i="18"/>
  <c r="E224" i="18" s="1"/>
  <c r="D223" i="18"/>
  <c r="E223" i="18" s="1"/>
  <c r="D222" i="18"/>
  <c r="E222" i="18" s="1"/>
  <c r="BM3" i="18"/>
  <c r="BP3" i="18" l="1"/>
  <c r="BM6" i="18" s="1"/>
  <c r="BN6" i="18" s="1"/>
  <c r="BQ3" i="18"/>
  <c r="BP6" i="18"/>
  <c r="AK7" i="27"/>
  <c r="AI9" i="27"/>
  <c r="AI12" i="27"/>
  <c r="AH12" i="27"/>
  <c r="AK8" i="27" s="1"/>
  <c r="AI10" i="27"/>
  <c r="AI8" i="27"/>
  <c r="AI6" i="27"/>
  <c r="AJ13" i="27"/>
  <c r="AG14" i="27" s="1"/>
  <c r="AG15" i="27" s="1"/>
  <c r="AF37" i="8"/>
  <c r="AF45" i="8"/>
  <c r="A526" i="24"/>
  <c r="C526" i="24"/>
  <c r="D526" i="24"/>
  <c r="E526" i="24"/>
  <c r="F526" i="24"/>
  <c r="G526" i="24"/>
  <c r="H526" i="24"/>
  <c r="I526" i="24"/>
  <c r="J526" i="24"/>
  <c r="K526" i="24"/>
  <c r="L526" i="24"/>
  <c r="M526" i="24"/>
  <c r="A527" i="24"/>
  <c r="C527" i="24"/>
  <c r="D527" i="24"/>
  <c r="E527" i="24"/>
  <c r="F527" i="24"/>
  <c r="G527" i="24"/>
  <c r="H527" i="24"/>
  <c r="I527" i="24"/>
  <c r="J527" i="24"/>
  <c r="K527" i="24"/>
  <c r="L527" i="24"/>
  <c r="M527" i="24"/>
  <c r="A528" i="24"/>
  <c r="C528" i="24"/>
  <c r="D528" i="24"/>
  <c r="E528" i="24"/>
  <c r="F528" i="24"/>
  <c r="G528" i="24"/>
  <c r="H528" i="24"/>
  <c r="I528" i="24"/>
  <c r="J528" i="24"/>
  <c r="K528" i="24"/>
  <c r="L528" i="24"/>
  <c r="M528" i="24"/>
  <c r="A529" i="24"/>
  <c r="C529" i="24"/>
  <c r="D529" i="24"/>
  <c r="E529" i="24"/>
  <c r="F529" i="24"/>
  <c r="G529" i="24"/>
  <c r="H529" i="24"/>
  <c r="I529" i="24"/>
  <c r="J529" i="24"/>
  <c r="K529" i="24"/>
  <c r="L529" i="24"/>
  <c r="M529" i="24"/>
  <c r="A530" i="24"/>
  <c r="C530" i="24"/>
  <c r="D530" i="24"/>
  <c r="E530" i="24"/>
  <c r="F530" i="24"/>
  <c r="G530" i="24"/>
  <c r="H530" i="24"/>
  <c r="I530" i="24"/>
  <c r="J530" i="24"/>
  <c r="K530" i="24"/>
  <c r="L530" i="24"/>
  <c r="M530" i="24"/>
  <c r="A531" i="24"/>
  <c r="C531" i="24"/>
  <c r="D531" i="24"/>
  <c r="E531" i="24"/>
  <c r="F531" i="24"/>
  <c r="G531" i="24"/>
  <c r="H531" i="24"/>
  <c r="I531" i="24"/>
  <c r="J531" i="24"/>
  <c r="K531" i="24"/>
  <c r="L531" i="24"/>
  <c r="M531" i="24"/>
  <c r="A532" i="24"/>
  <c r="C532" i="24"/>
  <c r="D532" i="24"/>
  <c r="E532" i="24"/>
  <c r="F532" i="24"/>
  <c r="G532" i="24"/>
  <c r="H532" i="24"/>
  <c r="I532" i="24"/>
  <c r="J532" i="24"/>
  <c r="K532" i="24"/>
  <c r="L532" i="24"/>
  <c r="M532" i="24"/>
  <c r="A533" i="24"/>
  <c r="C533" i="24"/>
  <c r="D533" i="24"/>
  <c r="E533" i="24"/>
  <c r="F533" i="24"/>
  <c r="G533" i="24"/>
  <c r="H533" i="24"/>
  <c r="I533" i="24"/>
  <c r="J533" i="24"/>
  <c r="K533" i="24"/>
  <c r="L533" i="24"/>
  <c r="M533" i="24"/>
  <c r="A534" i="24"/>
  <c r="C534" i="24"/>
  <c r="D534" i="24"/>
  <c r="E534" i="24"/>
  <c r="F534" i="24"/>
  <c r="G534" i="24"/>
  <c r="H534" i="24"/>
  <c r="I534" i="24"/>
  <c r="J534" i="24"/>
  <c r="K534" i="24"/>
  <c r="L534" i="24"/>
  <c r="M534" i="24"/>
  <c r="A535" i="24"/>
  <c r="C535" i="24"/>
  <c r="D535" i="24"/>
  <c r="E535" i="24"/>
  <c r="F535" i="24"/>
  <c r="G535" i="24"/>
  <c r="H535" i="24"/>
  <c r="I535" i="24"/>
  <c r="J535" i="24"/>
  <c r="K535" i="24"/>
  <c r="L535" i="24"/>
  <c r="M535" i="24"/>
  <c r="A536" i="24"/>
  <c r="C536" i="24"/>
  <c r="D536" i="24"/>
  <c r="E536" i="24"/>
  <c r="F536" i="24"/>
  <c r="G536" i="24"/>
  <c r="H536" i="24"/>
  <c r="I536" i="24"/>
  <c r="J536" i="24"/>
  <c r="K536" i="24"/>
  <c r="L536" i="24"/>
  <c r="M536" i="24"/>
  <c r="A537" i="24"/>
  <c r="C537" i="24"/>
  <c r="D537" i="24"/>
  <c r="E537" i="24"/>
  <c r="F537" i="24"/>
  <c r="G537" i="24"/>
  <c r="H537" i="24"/>
  <c r="I537" i="24"/>
  <c r="J537" i="24"/>
  <c r="K537" i="24"/>
  <c r="L537" i="24"/>
  <c r="M537" i="24"/>
  <c r="A538" i="24"/>
  <c r="C538" i="24"/>
  <c r="D538" i="24"/>
  <c r="E538" i="24"/>
  <c r="F538" i="24"/>
  <c r="G538" i="24"/>
  <c r="H538" i="24"/>
  <c r="I538" i="24"/>
  <c r="J538" i="24"/>
  <c r="K538" i="24"/>
  <c r="L538" i="24"/>
  <c r="M538" i="24"/>
  <c r="A539" i="24"/>
  <c r="C539" i="24"/>
  <c r="D539" i="24"/>
  <c r="E539" i="24"/>
  <c r="F539" i="24"/>
  <c r="G539" i="24"/>
  <c r="H539" i="24"/>
  <c r="I539" i="24"/>
  <c r="J539" i="24"/>
  <c r="K539" i="24"/>
  <c r="L539" i="24"/>
  <c r="M539" i="24"/>
  <c r="A540" i="24"/>
  <c r="C540" i="24"/>
  <c r="D540" i="24"/>
  <c r="E540" i="24"/>
  <c r="F540" i="24"/>
  <c r="G540" i="24"/>
  <c r="H540" i="24"/>
  <c r="I540" i="24"/>
  <c r="J540" i="24"/>
  <c r="K540" i="24"/>
  <c r="L540" i="24"/>
  <c r="M540" i="24"/>
  <c r="A541" i="24"/>
  <c r="C541" i="24"/>
  <c r="D541" i="24"/>
  <c r="E541" i="24"/>
  <c r="F541" i="24"/>
  <c r="G541" i="24"/>
  <c r="H541" i="24"/>
  <c r="I541" i="24"/>
  <c r="J541" i="24"/>
  <c r="K541" i="24"/>
  <c r="L541" i="24"/>
  <c r="M541" i="24"/>
  <c r="A542" i="24"/>
  <c r="C542" i="24"/>
  <c r="D542" i="24"/>
  <c r="E542" i="24"/>
  <c r="F542" i="24"/>
  <c r="G542" i="24"/>
  <c r="H542" i="24"/>
  <c r="I542" i="24"/>
  <c r="J542" i="24"/>
  <c r="K542" i="24"/>
  <c r="L542" i="24"/>
  <c r="M542" i="24"/>
  <c r="A543" i="24"/>
  <c r="C543" i="24"/>
  <c r="D543" i="24"/>
  <c r="E543" i="24"/>
  <c r="F543" i="24"/>
  <c r="G543" i="24"/>
  <c r="H543" i="24"/>
  <c r="I543" i="24"/>
  <c r="J543" i="24"/>
  <c r="K543" i="24"/>
  <c r="L543" i="24"/>
  <c r="M543" i="24"/>
  <c r="A544" i="24"/>
  <c r="C544" i="24"/>
  <c r="D544" i="24"/>
  <c r="E544" i="24"/>
  <c r="F544" i="24"/>
  <c r="G544" i="24"/>
  <c r="H544" i="24"/>
  <c r="I544" i="24"/>
  <c r="J544" i="24"/>
  <c r="K544" i="24"/>
  <c r="L544" i="24"/>
  <c r="M544" i="24"/>
  <c r="A545" i="24"/>
  <c r="C545" i="24"/>
  <c r="D545" i="24"/>
  <c r="E545" i="24"/>
  <c r="F545" i="24"/>
  <c r="G545" i="24"/>
  <c r="H545" i="24"/>
  <c r="I545" i="24"/>
  <c r="J545" i="24"/>
  <c r="K545" i="24"/>
  <c r="L545" i="24"/>
  <c r="M545" i="24"/>
  <c r="A546" i="24"/>
  <c r="C546" i="24"/>
  <c r="D546" i="24"/>
  <c r="E546" i="24"/>
  <c r="F546" i="24"/>
  <c r="G546" i="24"/>
  <c r="H546" i="24"/>
  <c r="I546" i="24"/>
  <c r="J546" i="24"/>
  <c r="K546" i="24"/>
  <c r="L546" i="24"/>
  <c r="M546" i="24"/>
  <c r="A547" i="24"/>
  <c r="C547" i="24"/>
  <c r="D547" i="24"/>
  <c r="E547" i="24"/>
  <c r="F547" i="24"/>
  <c r="G547" i="24"/>
  <c r="H547" i="24"/>
  <c r="I547" i="24"/>
  <c r="J547" i="24"/>
  <c r="K547" i="24"/>
  <c r="L547" i="24"/>
  <c r="M547" i="24"/>
  <c r="A548" i="24"/>
  <c r="C548" i="24"/>
  <c r="D548" i="24"/>
  <c r="E548" i="24"/>
  <c r="F548" i="24"/>
  <c r="G548" i="24"/>
  <c r="H548" i="24"/>
  <c r="I548" i="24"/>
  <c r="J548" i="24"/>
  <c r="K548" i="24"/>
  <c r="L548" i="24"/>
  <c r="M548" i="24"/>
  <c r="A549" i="24"/>
  <c r="C549" i="24"/>
  <c r="D549" i="24"/>
  <c r="E549" i="24"/>
  <c r="F549" i="24"/>
  <c r="G549" i="24"/>
  <c r="H549" i="24"/>
  <c r="I549" i="24"/>
  <c r="J549" i="24"/>
  <c r="K549" i="24"/>
  <c r="L549" i="24"/>
  <c r="M549" i="24"/>
  <c r="A550" i="24"/>
  <c r="C550" i="24"/>
  <c r="D550" i="24"/>
  <c r="E550" i="24"/>
  <c r="F550" i="24"/>
  <c r="G550" i="24"/>
  <c r="H550" i="24"/>
  <c r="I550" i="24"/>
  <c r="J550" i="24"/>
  <c r="K550" i="24"/>
  <c r="L550" i="24"/>
  <c r="M550" i="24"/>
  <c r="A551" i="24"/>
  <c r="C551" i="24"/>
  <c r="D551" i="24"/>
  <c r="E551" i="24"/>
  <c r="F551" i="24"/>
  <c r="G551" i="24"/>
  <c r="H551" i="24"/>
  <c r="I551" i="24"/>
  <c r="J551" i="24"/>
  <c r="K551" i="24"/>
  <c r="L551" i="24"/>
  <c r="M551" i="24"/>
  <c r="A552" i="24"/>
  <c r="C552" i="24"/>
  <c r="D552" i="24"/>
  <c r="E552" i="24"/>
  <c r="F552" i="24"/>
  <c r="G552" i="24"/>
  <c r="H552" i="24"/>
  <c r="I552" i="24"/>
  <c r="J552" i="24"/>
  <c r="K552" i="24"/>
  <c r="L552" i="24"/>
  <c r="M552" i="24"/>
  <c r="A553" i="24"/>
  <c r="C553" i="24"/>
  <c r="D553" i="24"/>
  <c r="E553" i="24"/>
  <c r="F553" i="24"/>
  <c r="G553" i="24"/>
  <c r="H553" i="24"/>
  <c r="I553" i="24"/>
  <c r="J553" i="24"/>
  <c r="K553" i="24"/>
  <c r="L553" i="24"/>
  <c r="M553" i="24"/>
  <c r="A554" i="24"/>
  <c r="C554" i="24"/>
  <c r="D554" i="24"/>
  <c r="E554" i="24"/>
  <c r="F554" i="24"/>
  <c r="G554" i="24"/>
  <c r="H554" i="24"/>
  <c r="I554" i="24"/>
  <c r="J554" i="24"/>
  <c r="K554" i="24"/>
  <c r="L554" i="24"/>
  <c r="M554" i="24"/>
  <c r="A555" i="24"/>
  <c r="C555" i="24"/>
  <c r="D555" i="24"/>
  <c r="E555" i="24"/>
  <c r="F555" i="24"/>
  <c r="G555" i="24"/>
  <c r="H555" i="24"/>
  <c r="I555" i="24"/>
  <c r="J555" i="24"/>
  <c r="K555" i="24"/>
  <c r="L555" i="24"/>
  <c r="M555" i="24"/>
  <c r="A556" i="24"/>
  <c r="C556" i="24"/>
  <c r="D556" i="24"/>
  <c r="E556" i="24"/>
  <c r="F556" i="24"/>
  <c r="G556" i="24"/>
  <c r="H556" i="24"/>
  <c r="I556" i="24"/>
  <c r="J556" i="24"/>
  <c r="K556" i="24"/>
  <c r="L556" i="24"/>
  <c r="M556" i="24"/>
  <c r="A557" i="24"/>
  <c r="C557" i="24"/>
  <c r="D557" i="24"/>
  <c r="E557" i="24"/>
  <c r="F557" i="24"/>
  <c r="G557" i="24"/>
  <c r="H557" i="24"/>
  <c r="I557" i="24"/>
  <c r="J557" i="24"/>
  <c r="K557" i="24"/>
  <c r="L557" i="24"/>
  <c r="M557" i="24"/>
  <c r="A558" i="24"/>
  <c r="C558" i="24"/>
  <c r="D558" i="24"/>
  <c r="E558" i="24"/>
  <c r="F558" i="24"/>
  <c r="G558" i="24"/>
  <c r="H558" i="24"/>
  <c r="I558" i="24"/>
  <c r="J558" i="24"/>
  <c r="K558" i="24"/>
  <c r="L558" i="24"/>
  <c r="M558" i="24"/>
  <c r="A559" i="24"/>
  <c r="C559" i="24"/>
  <c r="D559" i="24"/>
  <c r="E559" i="24"/>
  <c r="F559" i="24"/>
  <c r="G559" i="24"/>
  <c r="H559" i="24"/>
  <c r="I559" i="24"/>
  <c r="J559" i="24"/>
  <c r="K559" i="24"/>
  <c r="L559" i="24"/>
  <c r="M559" i="24"/>
  <c r="A560" i="24"/>
  <c r="C560" i="24"/>
  <c r="D560" i="24"/>
  <c r="E560" i="24"/>
  <c r="F560" i="24"/>
  <c r="G560" i="24"/>
  <c r="H560" i="24"/>
  <c r="I560" i="24"/>
  <c r="J560" i="24"/>
  <c r="K560" i="24"/>
  <c r="L560" i="24"/>
  <c r="M560" i="24"/>
  <c r="A561" i="24"/>
  <c r="C561" i="24"/>
  <c r="D561" i="24"/>
  <c r="E561" i="24"/>
  <c r="F561" i="24"/>
  <c r="G561" i="24"/>
  <c r="H561" i="24"/>
  <c r="I561" i="24"/>
  <c r="J561" i="24"/>
  <c r="K561" i="24"/>
  <c r="L561" i="24"/>
  <c r="M561" i="24"/>
  <c r="A562" i="24"/>
  <c r="C562" i="24"/>
  <c r="D562" i="24"/>
  <c r="E562" i="24"/>
  <c r="F562" i="24"/>
  <c r="G562" i="24"/>
  <c r="H562" i="24"/>
  <c r="I562" i="24"/>
  <c r="J562" i="24"/>
  <c r="K562" i="24"/>
  <c r="L562" i="24"/>
  <c r="M562" i="24"/>
  <c r="A563" i="24"/>
  <c r="C563" i="24"/>
  <c r="D563" i="24"/>
  <c r="E563" i="24"/>
  <c r="F563" i="24"/>
  <c r="G563" i="24"/>
  <c r="H563" i="24"/>
  <c r="I563" i="24"/>
  <c r="J563" i="24"/>
  <c r="K563" i="24"/>
  <c r="L563" i="24"/>
  <c r="M563" i="24"/>
  <c r="A564" i="24"/>
  <c r="C564" i="24"/>
  <c r="D564" i="24"/>
  <c r="E564" i="24"/>
  <c r="F564" i="24"/>
  <c r="G564" i="24"/>
  <c r="H564" i="24"/>
  <c r="I564" i="24"/>
  <c r="J564" i="24"/>
  <c r="K564" i="24"/>
  <c r="L564" i="24"/>
  <c r="M564" i="24"/>
  <c r="A565" i="24"/>
  <c r="C565" i="24"/>
  <c r="D565" i="24"/>
  <c r="E565" i="24"/>
  <c r="F565" i="24"/>
  <c r="G565" i="24"/>
  <c r="H565" i="24"/>
  <c r="I565" i="24"/>
  <c r="J565" i="24"/>
  <c r="K565" i="24"/>
  <c r="L565" i="24"/>
  <c r="M565" i="24"/>
  <c r="A566" i="24"/>
  <c r="C566" i="24"/>
  <c r="D566" i="24"/>
  <c r="E566" i="24"/>
  <c r="F566" i="24"/>
  <c r="G566" i="24"/>
  <c r="H566" i="24"/>
  <c r="I566" i="24"/>
  <c r="J566" i="24"/>
  <c r="K566" i="24"/>
  <c r="L566" i="24"/>
  <c r="M566" i="24"/>
  <c r="A567" i="24"/>
  <c r="C567" i="24"/>
  <c r="D567" i="24"/>
  <c r="E567" i="24"/>
  <c r="F567" i="24"/>
  <c r="G567" i="24"/>
  <c r="H567" i="24"/>
  <c r="I567" i="24"/>
  <c r="J567" i="24"/>
  <c r="K567" i="24"/>
  <c r="L567" i="24"/>
  <c r="M567" i="24"/>
  <c r="A568" i="24"/>
  <c r="C568" i="24"/>
  <c r="D568" i="24"/>
  <c r="E568" i="24"/>
  <c r="F568" i="24"/>
  <c r="G568" i="24"/>
  <c r="H568" i="24"/>
  <c r="I568" i="24"/>
  <c r="J568" i="24"/>
  <c r="K568" i="24"/>
  <c r="L568" i="24"/>
  <c r="M568" i="24"/>
  <c r="A569" i="24"/>
  <c r="C569" i="24"/>
  <c r="D569" i="24"/>
  <c r="E569" i="24"/>
  <c r="F569" i="24"/>
  <c r="G569" i="24"/>
  <c r="H569" i="24"/>
  <c r="I569" i="24"/>
  <c r="J569" i="24"/>
  <c r="K569" i="24"/>
  <c r="L569" i="24"/>
  <c r="M569" i="24"/>
  <c r="A570" i="24"/>
  <c r="C570" i="24"/>
  <c r="D570" i="24"/>
  <c r="E570" i="24"/>
  <c r="F570" i="24"/>
  <c r="G570" i="24"/>
  <c r="H570" i="24"/>
  <c r="I570" i="24"/>
  <c r="J570" i="24"/>
  <c r="K570" i="24"/>
  <c r="L570" i="24"/>
  <c r="M570" i="24"/>
  <c r="A571" i="24"/>
  <c r="C571" i="24"/>
  <c r="D571" i="24"/>
  <c r="E571" i="24"/>
  <c r="F571" i="24"/>
  <c r="G571" i="24"/>
  <c r="H571" i="24"/>
  <c r="I571" i="24"/>
  <c r="J571" i="24"/>
  <c r="K571" i="24"/>
  <c r="L571" i="24"/>
  <c r="M571" i="24"/>
  <c r="A572" i="24"/>
  <c r="C572" i="24"/>
  <c r="D572" i="24"/>
  <c r="E572" i="24"/>
  <c r="F572" i="24"/>
  <c r="G572" i="24"/>
  <c r="H572" i="24"/>
  <c r="I572" i="24"/>
  <c r="J572" i="24"/>
  <c r="K572" i="24"/>
  <c r="L572" i="24"/>
  <c r="M572" i="24"/>
  <c r="A573" i="24"/>
  <c r="C573" i="24"/>
  <c r="D573" i="24"/>
  <c r="E573" i="24"/>
  <c r="F573" i="24"/>
  <c r="G573" i="24"/>
  <c r="H573" i="24"/>
  <c r="I573" i="24"/>
  <c r="J573" i="24"/>
  <c r="K573" i="24"/>
  <c r="L573" i="24"/>
  <c r="M573" i="24"/>
  <c r="A574" i="24"/>
  <c r="C574" i="24"/>
  <c r="D574" i="24"/>
  <c r="E574" i="24"/>
  <c r="F574" i="24"/>
  <c r="G574" i="24"/>
  <c r="H574" i="24"/>
  <c r="I574" i="24"/>
  <c r="J574" i="24"/>
  <c r="K574" i="24"/>
  <c r="L574" i="24"/>
  <c r="M574" i="24"/>
  <c r="M525" i="24"/>
  <c r="L525" i="24"/>
  <c r="K525" i="24"/>
  <c r="J525" i="24"/>
  <c r="I525" i="24"/>
  <c r="H525" i="24"/>
  <c r="G525" i="24"/>
  <c r="F525" i="24"/>
  <c r="E525" i="24"/>
  <c r="D525" i="24"/>
  <c r="A525" i="24"/>
  <c r="C525" i="24"/>
  <c r="BS2" i="18" l="1"/>
  <c r="AF48" i="8"/>
  <c r="C271" i="10"/>
  <c r="AK18" i="8"/>
  <c r="AK34" i="8"/>
  <c r="AK50" i="8"/>
  <c r="AK3" i="8"/>
  <c r="AK38" i="8"/>
  <c r="AK23" i="8"/>
  <c r="AK24" i="8"/>
  <c r="AK19" i="8"/>
  <c r="AK35" i="8"/>
  <c r="AK51" i="8"/>
  <c r="AK21" i="8"/>
  <c r="D297" i="10"/>
  <c r="AK22" i="8"/>
  <c r="C68" i="10"/>
  <c r="AK7" i="8"/>
  <c r="AK8" i="8"/>
  <c r="AK25" i="8"/>
  <c r="AK26" i="8"/>
  <c r="D51" i="10"/>
  <c r="AK27" i="8"/>
  <c r="AK29" i="8"/>
  <c r="AK46" i="8"/>
  <c r="D85" i="10"/>
  <c r="AK4" i="8"/>
  <c r="AK20" i="8"/>
  <c r="AK36" i="8"/>
  <c r="AK52" i="8"/>
  <c r="AK5" i="8"/>
  <c r="AK37" i="8"/>
  <c r="D143" i="10"/>
  <c r="AK6" i="8"/>
  <c r="C112" i="10"/>
  <c r="AK39" i="8"/>
  <c r="AK40" i="8"/>
  <c r="D218" i="10"/>
  <c r="D67" i="10"/>
  <c r="AK41" i="8"/>
  <c r="C67" i="10"/>
  <c r="AK42" i="8"/>
  <c r="AK43" i="8"/>
  <c r="C138" i="10"/>
  <c r="C51" i="10"/>
  <c r="AK12" i="8"/>
  <c r="AK44" i="8"/>
  <c r="AK13" i="8"/>
  <c r="AK45" i="8"/>
  <c r="AK14" i="8"/>
  <c r="AK9" i="8"/>
  <c r="AK10" i="8"/>
  <c r="AK11" i="8"/>
  <c r="AK28" i="8"/>
  <c r="AK30" i="8"/>
  <c r="AK15" i="8"/>
  <c r="AK47" i="8"/>
  <c r="D241" i="10"/>
  <c r="D73" i="10"/>
  <c r="AK48" i="8"/>
  <c r="AK31" i="8"/>
  <c r="D288" i="10"/>
  <c r="AK16" i="8"/>
  <c r="D104" i="10"/>
  <c r="AK17" i="8"/>
  <c r="AK32" i="8"/>
  <c r="AK33" i="8"/>
  <c r="C179" i="10"/>
  <c r="AL30" i="8" s="1"/>
  <c r="AK49" i="8"/>
  <c r="C257" i="10"/>
  <c r="C196" i="10"/>
  <c r="AL47" i="8" s="1"/>
  <c r="C121" i="10"/>
  <c r="C186" i="10"/>
  <c r="AL37" i="8" s="1"/>
  <c r="C65" i="10"/>
  <c r="D142" i="10"/>
  <c r="D192" i="10"/>
  <c r="AN43" i="8" s="1"/>
  <c r="D261" i="10"/>
  <c r="D295" i="10"/>
  <c r="D116" i="10"/>
  <c r="D251" i="10"/>
  <c r="D179" i="10"/>
  <c r="AN30" i="8" s="1"/>
  <c r="C236" i="10"/>
  <c r="D232" i="10"/>
  <c r="D129" i="10"/>
  <c r="C42" i="10"/>
  <c r="C164" i="10"/>
  <c r="AL15" i="8" s="1"/>
  <c r="C275" i="10"/>
  <c r="D296" i="10"/>
  <c r="D28" i="10"/>
  <c r="C93" i="10"/>
  <c r="C63" i="10"/>
  <c r="C32" i="10"/>
  <c r="C118" i="10"/>
  <c r="D166" i="10"/>
  <c r="AN17" i="8" s="1"/>
  <c r="D95" i="10"/>
  <c r="C141" i="10"/>
  <c r="C74" i="10"/>
  <c r="C142" i="10"/>
  <c r="C191" i="10"/>
  <c r="AL42" i="8" s="1"/>
  <c r="C198" i="10"/>
  <c r="AL49" i="8" s="1"/>
  <c r="C301" i="10"/>
  <c r="D203" i="10"/>
  <c r="C200" i="10"/>
  <c r="AL51" i="8" s="1"/>
  <c r="D256" i="10"/>
  <c r="D300" i="10"/>
  <c r="D193" i="10"/>
  <c r="AN44" i="8" s="1"/>
  <c r="C50" i="10"/>
  <c r="C47" i="10"/>
  <c r="C254" i="10"/>
  <c r="C182" i="10"/>
  <c r="AL33" i="8" s="1"/>
  <c r="C49" i="10"/>
  <c r="D84" i="10"/>
  <c r="C209" i="10"/>
  <c r="D227" i="10"/>
  <c r="C28" i="10"/>
  <c r="C22" i="10"/>
  <c r="D165" i="10"/>
  <c r="AN16" i="8" s="1"/>
  <c r="C267" i="10"/>
  <c r="D189" i="10"/>
  <c r="AN40" i="8" s="1"/>
  <c r="D258" i="10"/>
  <c r="D252" i="10"/>
  <c r="D224" i="10"/>
  <c r="D139" i="10"/>
  <c r="D90" i="10"/>
  <c r="D87" i="10"/>
  <c r="C165" i="10"/>
  <c r="AL16" i="8" s="1"/>
  <c r="D223" i="10"/>
  <c r="C230" i="10"/>
  <c r="C291" i="10"/>
  <c r="D2" i="10"/>
  <c r="D57" i="10"/>
  <c r="D97" i="10"/>
  <c r="C171" i="10"/>
  <c r="AL22" i="8" s="1"/>
  <c r="C5" i="10"/>
  <c r="D233" i="10"/>
  <c r="D237" i="10"/>
  <c r="D197" i="10"/>
  <c r="AN48" i="8" s="1"/>
  <c r="D160" i="10"/>
  <c r="AN11" i="8" s="1"/>
  <c r="D255" i="10"/>
  <c r="D55" i="10"/>
  <c r="C108" i="10"/>
  <c r="D209" i="10"/>
  <c r="D228" i="10"/>
  <c r="C119" i="10"/>
  <c r="D167" i="10"/>
  <c r="AN18" i="8" s="1"/>
  <c r="C248" i="10"/>
  <c r="D138" i="10"/>
  <c r="D235" i="10"/>
  <c r="C223" i="10"/>
  <c r="D4" i="10"/>
  <c r="C97" i="10"/>
  <c r="D146" i="10"/>
  <c r="D10" i="10"/>
  <c r="D210" i="10"/>
  <c r="D21" i="10"/>
  <c r="C133" i="10"/>
  <c r="C243" i="10"/>
  <c r="D180" i="10"/>
  <c r="AN31" i="8" s="1"/>
  <c r="D24" i="10"/>
  <c r="C192" i="10"/>
  <c r="AL43" i="8" s="1"/>
  <c r="C284" i="10"/>
  <c r="D49" i="10"/>
  <c r="D8" i="10"/>
  <c r="D71" i="10"/>
  <c r="D294" i="10"/>
  <c r="D38" i="10"/>
  <c r="D107" i="10"/>
  <c r="C201" i="10"/>
  <c r="AL52" i="8" s="1"/>
  <c r="D208" i="10"/>
  <c r="D125" i="10"/>
  <c r="C166" i="10"/>
  <c r="AL17" i="8" s="1"/>
  <c r="D101" i="10"/>
  <c r="C175" i="10"/>
  <c r="AL26" i="8" s="1"/>
  <c r="D121" i="10"/>
  <c r="C155" i="10"/>
  <c r="AL6" i="8" s="1"/>
  <c r="C109" i="10"/>
  <c r="C197" i="10"/>
  <c r="AL48" i="8" s="1"/>
  <c r="D205" i="10"/>
  <c r="D63" i="10"/>
  <c r="D42" i="10"/>
  <c r="C193" i="10"/>
  <c r="AL44" i="8" s="1"/>
  <c r="D200" i="10"/>
  <c r="AN51" i="8" s="1"/>
  <c r="D282" i="10"/>
  <c r="C19" i="10"/>
  <c r="D22" i="10"/>
  <c r="C219" i="10"/>
  <c r="D169" i="10"/>
  <c r="AN20" i="8" s="1"/>
  <c r="C210" i="10"/>
  <c r="C152" i="10"/>
  <c r="AL3" i="8" s="1"/>
  <c r="D299" i="10"/>
  <c r="D283" i="10"/>
  <c r="D181" i="10"/>
  <c r="AN32" i="8" s="1"/>
  <c r="D149" i="10"/>
  <c r="C114" i="10"/>
  <c r="C255" i="10"/>
  <c r="C176" i="10"/>
  <c r="AL27" i="8" s="1"/>
  <c r="D230" i="10"/>
  <c r="D215" i="10"/>
  <c r="D259" i="10"/>
  <c r="D11" i="10"/>
  <c r="C105" i="10"/>
  <c r="D152" i="10"/>
  <c r="AN3" i="8" s="1"/>
  <c r="D199" i="10"/>
  <c r="AN50" i="8" s="1"/>
  <c r="C59" i="10"/>
  <c r="C242" i="10"/>
  <c r="D127" i="10"/>
  <c r="D293" i="10"/>
  <c r="D301" i="10"/>
  <c r="D99" i="10"/>
  <c r="D78" i="10"/>
  <c r="D174" i="10"/>
  <c r="AN25" i="8" s="1"/>
  <c r="C270" i="10"/>
  <c r="D286" i="10"/>
  <c r="D36" i="10"/>
  <c r="D50" i="10"/>
  <c r="D176" i="10"/>
  <c r="AN27" i="8" s="1"/>
  <c r="D105" i="10"/>
  <c r="D65" i="10"/>
  <c r="C88" i="10"/>
  <c r="C136" i="10"/>
  <c r="D260" i="10"/>
  <c r="C39" i="10"/>
  <c r="C183" i="10"/>
  <c r="AL34" i="8" s="1"/>
  <c r="C25" i="10"/>
  <c r="D239" i="10"/>
  <c r="D66" i="10"/>
  <c r="C204" i="10"/>
  <c r="D162" i="10"/>
  <c r="AN13" i="8" s="1"/>
  <c r="C56" i="10"/>
  <c r="C225" i="10"/>
  <c r="C147" i="10"/>
  <c r="C172" i="10"/>
  <c r="AL23" i="8" s="1"/>
  <c r="D195" i="10"/>
  <c r="AN46" i="8" s="1"/>
  <c r="C264" i="10"/>
  <c r="D245" i="10"/>
  <c r="C228" i="10"/>
  <c r="D52" i="10"/>
  <c r="D124" i="10"/>
  <c r="C76" i="10"/>
  <c r="C3" i="10"/>
  <c r="D29" i="10"/>
  <c r="C71" i="10"/>
  <c r="C294" i="10"/>
  <c r="C38" i="10"/>
  <c r="C107" i="10"/>
  <c r="D201" i="10"/>
  <c r="AN52" i="8" s="1"/>
  <c r="C208" i="10"/>
  <c r="C125" i="10"/>
  <c r="D173" i="10"/>
  <c r="AN24" i="8" s="1"/>
  <c r="C122" i="10"/>
  <c r="C181" i="10"/>
  <c r="AL32" i="8" s="1"/>
  <c r="C128" i="10"/>
  <c r="C162" i="10"/>
  <c r="AL13" i="8" s="1"/>
  <c r="C190" i="10"/>
  <c r="AL41" i="8" s="1"/>
  <c r="C231" i="10"/>
  <c r="C205" i="10"/>
  <c r="C92" i="10"/>
  <c r="D285" i="10"/>
  <c r="D175" i="10"/>
  <c r="AN26" i="8" s="1"/>
  <c r="D39" i="10"/>
  <c r="C43" i="10"/>
  <c r="D136" i="10"/>
  <c r="D5" i="10"/>
  <c r="C246" i="10"/>
  <c r="C222" i="10"/>
  <c r="C251" i="10"/>
  <c r="C265" i="10"/>
  <c r="D231" i="10"/>
  <c r="D287" i="10"/>
  <c r="C52" i="10"/>
  <c r="D145" i="10"/>
  <c r="D6" i="10"/>
  <c r="D64" i="10"/>
  <c r="C235" i="10"/>
  <c r="C258" i="10"/>
  <c r="C8" i="10"/>
  <c r="C232" i="10"/>
  <c r="C279" i="10"/>
  <c r="D88" i="10"/>
  <c r="C146" i="10"/>
  <c r="C6" i="10"/>
  <c r="C253" i="10"/>
  <c r="C283" i="10"/>
  <c r="C149" i="10"/>
  <c r="C185" i="10"/>
  <c r="AL36" i="8" s="1"/>
  <c r="D69" i="10"/>
  <c r="C139" i="10"/>
  <c r="D56" i="10"/>
  <c r="C87" i="10"/>
  <c r="D94" i="10"/>
  <c r="D229" i="10"/>
  <c r="D250" i="10"/>
  <c r="C95" i="10"/>
  <c r="D33" i="10"/>
  <c r="C106" i="10"/>
  <c r="D100" i="10"/>
  <c r="C31" i="10"/>
  <c r="C90" i="10"/>
  <c r="D3" i="10"/>
  <c r="D111" i="10"/>
  <c r="D276" i="10"/>
  <c r="D267" i="10"/>
  <c r="D270" i="10"/>
  <c r="D153" i="10"/>
  <c r="AN4" i="8" s="1"/>
  <c r="C296" i="10"/>
  <c r="D178" i="10"/>
  <c r="AN29" i="8" s="1"/>
  <c r="C99" i="10"/>
  <c r="C241" i="10"/>
  <c r="D172" i="10"/>
  <c r="AN23" i="8" s="1"/>
  <c r="D147" i="10"/>
  <c r="C15" i="10"/>
  <c r="C234" i="10"/>
  <c r="D264" i="10"/>
  <c r="C245" i="10"/>
  <c r="D17" i="10"/>
  <c r="D148" i="10"/>
  <c r="D212" i="10"/>
  <c r="C111" i="10"/>
  <c r="D9" i="10"/>
  <c r="C29" i="10"/>
  <c r="C80" i="10"/>
  <c r="D47" i="10"/>
  <c r="D123" i="10"/>
  <c r="D219" i="10"/>
  <c r="D246" i="10"/>
  <c r="C173" i="10"/>
  <c r="AL24" i="8" s="1"/>
  <c r="D135" i="10"/>
  <c r="C215" i="10"/>
  <c r="C202" i="10"/>
  <c r="D182" i="10"/>
  <c r="AN33" i="8" s="1"/>
  <c r="C203" i="10"/>
  <c r="C238" i="10"/>
  <c r="D272" i="10"/>
  <c r="C17" i="10"/>
  <c r="C184" i="10"/>
  <c r="AL35" i="8" s="1"/>
  <c r="C158" i="10"/>
  <c r="AL9" i="8" s="1"/>
  <c r="D213" i="10"/>
  <c r="D273" i="10"/>
  <c r="D247" i="10"/>
  <c r="D114" i="10"/>
  <c r="C123" i="10"/>
  <c r="D249" i="10"/>
  <c r="C288" i="10"/>
  <c r="D277" i="10"/>
  <c r="C297" i="10"/>
  <c r="C227" i="10"/>
  <c r="C212" i="10"/>
  <c r="C85" i="10"/>
  <c r="D98" i="10"/>
  <c r="D253" i="10"/>
  <c r="C256" i="10"/>
  <c r="D242" i="10"/>
  <c r="C21" i="10"/>
  <c r="D26" i="10"/>
  <c r="C268" i="10"/>
  <c r="D220" i="10"/>
  <c r="C4" i="10"/>
  <c r="C98" i="10"/>
  <c r="D281" i="10"/>
  <c r="C189" i="10"/>
  <c r="AL40" i="8" s="1"/>
  <c r="C180" i="10"/>
  <c r="AL31" i="8" s="1"/>
  <c r="D43" i="10"/>
  <c r="D240" i="10"/>
  <c r="C239" i="10"/>
  <c r="D161" i="10"/>
  <c r="AN12" i="8" s="1"/>
  <c r="C199" i="10"/>
  <c r="AL50" i="8" s="1"/>
  <c r="C11" i="10"/>
  <c r="C55" i="10"/>
  <c r="C213" i="10"/>
  <c r="D263" i="10"/>
  <c r="C113" i="10"/>
  <c r="C20" i="10"/>
  <c r="C266" i="10"/>
  <c r="C188" i="10"/>
  <c r="AL39" i="8" s="1"/>
  <c r="C135" i="10"/>
  <c r="C216" i="10"/>
  <c r="D126" i="10"/>
  <c r="C168" i="10"/>
  <c r="AL19" i="8" s="1"/>
  <c r="C300" i="10"/>
  <c r="D119" i="10"/>
  <c r="C126" i="10"/>
  <c r="C211" i="10"/>
  <c r="D131" i="10"/>
  <c r="C178" i="10"/>
  <c r="AL29" i="8" s="1"/>
  <c r="C2" i="10"/>
  <c r="D130" i="10"/>
  <c r="D103" i="10"/>
  <c r="C240" i="10"/>
  <c r="C250" i="10"/>
  <c r="D14" i="10"/>
  <c r="C102" i="10"/>
  <c r="C272" i="10"/>
  <c r="C14" i="10"/>
  <c r="D44" i="10"/>
  <c r="C41" i="10"/>
  <c r="D183" i="10"/>
  <c r="AN34" i="8" s="1"/>
  <c r="C53" i="10"/>
  <c r="D278" i="10"/>
  <c r="C81" i="10"/>
  <c r="C220" i="10"/>
  <c r="D154" i="10"/>
  <c r="AN5" i="8" s="1"/>
  <c r="D54" i="10"/>
  <c r="C101" i="10"/>
  <c r="D257" i="10"/>
  <c r="C46" i="10"/>
  <c r="C54" i="10"/>
  <c r="C115" i="10"/>
  <c r="C132" i="10"/>
  <c r="D45" i="10"/>
  <c r="D61" i="10"/>
  <c r="D76" i="10"/>
  <c r="D132" i="10"/>
  <c r="C45" i="10"/>
  <c r="C150" i="10"/>
  <c r="D27" i="10"/>
  <c r="D292" i="10"/>
  <c r="D91" i="10"/>
  <c r="C33" i="10"/>
  <c r="D117" i="10"/>
  <c r="D204" i="10"/>
  <c r="C174" i="10"/>
  <c r="AL25" i="8" s="1"/>
  <c r="C157" i="10"/>
  <c r="AL8" i="8" s="1"/>
  <c r="D151" i="10"/>
  <c r="C259" i="10"/>
  <c r="D77" i="10"/>
  <c r="C75" i="10"/>
  <c r="D244" i="10"/>
  <c r="D92" i="10"/>
  <c r="D217" i="10"/>
  <c r="C159" i="10"/>
  <c r="AL10" i="8" s="1"/>
  <c r="D137" i="10"/>
  <c r="D290" i="10"/>
  <c r="D120" i="10"/>
  <c r="C244" i="10"/>
  <c r="C94" i="10"/>
  <c r="D158" i="10"/>
  <c r="AN9" i="8" s="1"/>
  <c r="D19" i="10"/>
  <c r="C131" i="10"/>
  <c r="C221" i="10"/>
  <c r="C269" i="10"/>
  <c r="D271" i="10"/>
  <c r="D211" i="10"/>
  <c r="C86" i="10"/>
  <c r="D102" i="10"/>
  <c r="C120" i="10"/>
  <c r="D170" i="10"/>
  <c r="AN21" i="8" s="1"/>
  <c r="C280" i="10"/>
  <c r="D171" i="10"/>
  <c r="AN22" i="8" s="1"/>
  <c r="D82" i="10"/>
  <c r="D236" i="10"/>
  <c r="D112" i="10"/>
  <c r="C30" i="10"/>
  <c r="C140" i="10"/>
  <c r="D186" i="10"/>
  <c r="AN37" i="8" s="1"/>
  <c r="C12" i="10"/>
  <c r="D80" i="10"/>
  <c r="C130" i="10"/>
  <c r="C103" i="10"/>
  <c r="D254" i="10"/>
  <c r="C277" i="10"/>
  <c r="D109" i="10"/>
  <c r="C286" i="10"/>
  <c r="C237" i="10"/>
  <c r="D48" i="10"/>
  <c r="D40" i="10"/>
  <c r="D243" i="10"/>
  <c r="C13" i="10"/>
  <c r="C9" i="10"/>
  <c r="C143" i="10"/>
  <c r="C195" i="10"/>
  <c r="AL46" i="8" s="1"/>
  <c r="C69" i="10"/>
  <c r="C278" i="10"/>
  <c r="D187" i="10"/>
  <c r="AN38" i="8" s="1"/>
  <c r="D248" i="10"/>
  <c r="C154" i="10"/>
  <c r="AL5" i="8" s="1"/>
  <c r="C299" i="10"/>
  <c r="D234" i="10"/>
  <c r="D284" i="10"/>
  <c r="D32" i="10"/>
  <c r="D150" i="10"/>
  <c r="C145" i="10"/>
  <c r="C83" i="10"/>
  <c r="C57" i="10"/>
  <c r="C61" i="10"/>
  <c r="C161" i="10"/>
  <c r="AL12" i="8" s="1"/>
  <c r="C18" i="10"/>
  <c r="C249" i="10"/>
  <c r="D106" i="10"/>
  <c r="C292" i="10"/>
  <c r="D144" i="10"/>
  <c r="C91" i="10"/>
  <c r="C177" i="10"/>
  <c r="AL28" i="8" s="1"/>
  <c r="D191" i="10"/>
  <c r="AN42" i="8" s="1"/>
  <c r="C226" i="10"/>
  <c r="D159" i="10"/>
  <c r="AN10" i="8" s="1"/>
  <c r="C273" i="10"/>
  <c r="D238" i="10"/>
  <c r="C276" i="10"/>
  <c r="C261" i="10"/>
  <c r="D41" i="10"/>
  <c r="C289" i="10"/>
  <c r="D59" i="10"/>
  <c r="C295" i="10"/>
  <c r="D93" i="10"/>
  <c r="C167" i="10"/>
  <c r="AL18" i="8" s="1"/>
  <c r="C290" i="10"/>
  <c r="C72" i="10"/>
  <c r="C151" i="10"/>
  <c r="D86" i="10"/>
  <c r="C169" i="10"/>
  <c r="AL20" i="8" s="1"/>
  <c r="C96" i="10"/>
  <c r="C156" i="10"/>
  <c r="AL7" i="8" s="1"/>
  <c r="C70" i="10"/>
  <c r="D265" i="10"/>
  <c r="D75" i="10"/>
  <c r="C217" i="10"/>
  <c r="C40" i="10"/>
  <c r="C218" i="10"/>
  <c r="D188" i="10"/>
  <c r="AN39" i="8" s="1"/>
  <c r="C84" i="10"/>
  <c r="C163" i="10"/>
  <c r="AL14" i="8" s="1"/>
  <c r="C117" i="10"/>
  <c r="D35" i="10"/>
  <c r="C148" i="10"/>
  <c r="C124" i="10"/>
  <c r="C224" i="10"/>
  <c r="D216" i="10"/>
  <c r="D12" i="10"/>
  <c r="C37" i="10"/>
  <c r="C16" i="10"/>
  <c r="D206" i="10"/>
  <c r="D298" i="10"/>
  <c r="C293" i="10"/>
  <c r="D140" i="10"/>
  <c r="D291" i="10"/>
  <c r="D185" i="10"/>
  <c r="AN36" i="8" s="1"/>
  <c r="D37" i="10"/>
  <c r="D164" i="10"/>
  <c r="AN15" i="8" s="1"/>
  <c r="C116" i="10"/>
  <c r="C252" i="10"/>
  <c r="C281" i="10"/>
  <c r="D274" i="10"/>
  <c r="C207" i="10"/>
  <c r="D115" i="10"/>
  <c r="C10" i="10"/>
  <c r="C104" i="10"/>
  <c r="D30" i="10"/>
  <c r="C187" i="10"/>
  <c r="AL38" i="8" s="1"/>
  <c r="C153" i="10"/>
  <c r="AL4" i="8" s="1"/>
  <c r="D190" i="10"/>
  <c r="AN41" i="8" s="1"/>
  <c r="D184" i="10"/>
  <c r="AN35" i="8" s="1"/>
  <c r="D25" i="10"/>
  <c r="D74" i="10"/>
  <c r="C73" i="10"/>
  <c r="C214" i="10"/>
  <c r="D157" i="10"/>
  <c r="AN8" i="8" s="1"/>
  <c r="C229" i="10"/>
  <c r="D196" i="10"/>
  <c r="AN47" i="8" s="1"/>
  <c r="D226" i="10"/>
  <c r="D262" i="10"/>
  <c r="D289" i="10"/>
  <c r="D133" i="10"/>
  <c r="C36" i="10"/>
  <c r="D7" i="10"/>
  <c r="D18" i="10"/>
  <c r="D163" i="10"/>
  <c r="AN14" i="8" s="1"/>
  <c r="D113" i="10"/>
  <c r="C194" i="10"/>
  <c r="AL45" i="8" s="1"/>
  <c r="D269" i="10"/>
  <c r="C64" i="10"/>
  <c r="D58" i="10"/>
  <c r="C100" i="10"/>
  <c r="D221" i="10"/>
  <c r="C48" i="10"/>
  <c r="D108" i="10"/>
  <c r="D83" i="10"/>
  <c r="D72" i="10"/>
  <c r="D70" i="10"/>
  <c r="C7" i="10"/>
  <c r="C66" i="10"/>
  <c r="C160" i="10"/>
  <c r="AL11" i="8" s="1"/>
  <c r="D118" i="10"/>
  <c r="C285" i="10"/>
  <c r="D15" i="10"/>
  <c r="C247" i="10"/>
  <c r="D222" i="10"/>
  <c r="D279" i="10"/>
  <c r="D266" i="10"/>
  <c r="D96" i="10"/>
  <c r="D268" i="10"/>
  <c r="C35" i="10"/>
  <c r="D156" i="10"/>
  <c r="AN7" i="8" s="1"/>
  <c r="D177" i="10"/>
  <c r="AN28" i="8" s="1"/>
  <c r="C260" i="10"/>
  <c r="D225" i="10"/>
  <c r="D16" i="10"/>
  <c r="D53" i="10"/>
  <c r="C206" i="10"/>
  <c r="C274" i="10"/>
  <c r="D13" i="10"/>
  <c r="C27" i="10"/>
  <c r="D198" i="10"/>
  <c r="AN49" i="8" s="1"/>
  <c r="D23" i="10"/>
  <c r="D79" i="10"/>
  <c r="C23" i="10"/>
  <c r="C34" i="10"/>
  <c r="C58" i="10"/>
  <c r="C79" i="10"/>
  <c r="D31" i="10"/>
  <c r="D134" i="10"/>
  <c r="D128" i="10"/>
  <c r="D60" i="10"/>
  <c r="C78" i="10"/>
  <c r="C134" i="10"/>
  <c r="D34" i="10"/>
  <c r="C60" i="10"/>
  <c r="D194" i="10"/>
  <c r="AN45" i="8" s="1"/>
  <c r="D141" i="10"/>
  <c r="D89" i="10"/>
  <c r="D46" i="10"/>
  <c r="D214" i="10"/>
  <c r="C298" i="10"/>
  <c r="C137" i="10"/>
  <c r="C170" i="10"/>
  <c r="AL21" i="8" s="1"/>
  <c r="C26" i="10"/>
  <c r="C129" i="10"/>
  <c r="C144" i="10"/>
  <c r="D68" i="10"/>
  <c r="D110" i="10"/>
  <c r="C62" i="10"/>
  <c r="D275" i="10"/>
  <c r="C24" i="10"/>
  <c r="C110" i="10"/>
  <c r="C262" i="10"/>
  <c r="D155" i="10"/>
  <c r="AN6" i="8" s="1"/>
  <c r="D20" i="10"/>
  <c r="C44" i="10"/>
  <c r="C77" i="10"/>
  <c r="C82" i="10"/>
  <c r="D202" i="10"/>
  <c r="D168" i="10"/>
  <c r="AN19" i="8" s="1"/>
  <c r="D81" i="10"/>
  <c r="C127" i="10"/>
  <c r="C89" i="10"/>
  <c r="C233" i="10"/>
  <c r="D207" i="10"/>
  <c r="C263" i="10"/>
  <c r="C282" i="10"/>
  <c r="D122" i="10"/>
  <c r="C287" i="10"/>
  <c r="D280" i="10"/>
  <c r="D62" i="10"/>
  <c r="J48" i="10"/>
  <c r="I26" i="10"/>
  <c r="I46" i="10"/>
  <c r="I38" i="10"/>
  <c r="J26" i="10"/>
  <c r="J6" i="10"/>
  <c r="J4" i="10"/>
  <c r="I44" i="10"/>
  <c r="J30" i="10"/>
  <c r="I14" i="10"/>
  <c r="J36" i="10"/>
  <c r="I18" i="10"/>
  <c r="J15" i="10"/>
  <c r="I47" i="10"/>
  <c r="J14" i="10"/>
  <c r="I17" i="10"/>
  <c r="J19" i="10"/>
  <c r="I42" i="10"/>
  <c r="I40" i="10"/>
  <c r="I15" i="10"/>
  <c r="J43" i="10"/>
  <c r="I29" i="10"/>
  <c r="I39" i="10"/>
  <c r="I50" i="10"/>
  <c r="I13" i="10"/>
  <c r="J27" i="10"/>
  <c r="J16" i="10"/>
  <c r="J40" i="10"/>
  <c r="I41" i="10"/>
  <c r="I33" i="10"/>
  <c r="J11" i="10"/>
  <c r="J42" i="10"/>
  <c r="I20" i="10"/>
  <c r="I11" i="10"/>
  <c r="J24" i="10"/>
  <c r="I22" i="10"/>
  <c r="J21" i="10"/>
  <c r="I32" i="10"/>
  <c r="I2" i="10"/>
  <c r="J57" i="10"/>
  <c r="I25" i="10"/>
  <c r="I28" i="10"/>
  <c r="J12" i="10"/>
  <c r="I23" i="10"/>
  <c r="J29" i="10"/>
  <c r="I27" i="10"/>
  <c r="I4" i="10"/>
  <c r="J23" i="10"/>
  <c r="J22" i="10"/>
  <c r="I12" i="10"/>
  <c r="I21" i="10"/>
  <c r="I5" i="10"/>
  <c r="I43" i="10"/>
  <c r="J8" i="10"/>
  <c r="J20" i="10"/>
  <c r="I7" i="10"/>
  <c r="I53" i="10"/>
  <c r="J18" i="10"/>
  <c r="I24" i="10"/>
  <c r="J10" i="10"/>
  <c r="J56" i="10"/>
  <c r="I49" i="10"/>
  <c r="I36" i="10"/>
  <c r="J25" i="10"/>
  <c r="I9" i="10"/>
  <c r="I45" i="10"/>
  <c r="I57" i="10"/>
  <c r="I16" i="10"/>
  <c r="I48" i="10"/>
  <c r="I35" i="10"/>
  <c r="I30" i="10"/>
  <c r="J34" i="10"/>
  <c r="I55" i="10"/>
  <c r="J52" i="10"/>
  <c r="I54" i="10"/>
  <c r="J50" i="10"/>
  <c r="J39" i="10"/>
  <c r="J44" i="10"/>
  <c r="I52" i="10"/>
  <c r="J55" i="10"/>
  <c r="I51" i="10"/>
  <c r="J54" i="10"/>
  <c r="J28" i="10"/>
  <c r="J45" i="10"/>
  <c r="J49" i="10"/>
  <c r="J35" i="10"/>
  <c r="J2" i="10"/>
  <c r="J33" i="10"/>
  <c r="J38" i="10"/>
  <c r="J17" i="10"/>
  <c r="I31" i="10"/>
  <c r="I3" i="10"/>
  <c r="J53" i="10"/>
  <c r="I19" i="10"/>
  <c r="I10" i="10"/>
  <c r="I37" i="10"/>
  <c r="I58" i="10"/>
  <c r="J3" i="10"/>
  <c r="J59" i="10"/>
  <c r="I59" i="10"/>
  <c r="I8" i="10"/>
  <c r="I56" i="10"/>
  <c r="J47" i="10"/>
  <c r="J51" i="10"/>
  <c r="J32" i="10"/>
  <c r="J46" i="10"/>
  <c r="I6" i="10"/>
  <c r="J41" i="10"/>
  <c r="J5" i="10"/>
  <c r="J37" i="10"/>
  <c r="J9" i="10"/>
  <c r="I34" i="10"/>
  <c r="J58" i="10"/>
  <c r="J31" i="10"/>
  <c r="J13" i="10"/>
  <c r="J7" i="10"/>
  <c r="V48" i="8"/>
  <c r="AF52" i="8"/>
  <c r="AF51" i="8"/>
  <c r="AF49" i="8"/>
  <c r="AF18" i="8"/>
  <c r="AF3" i="8"/>
  <c r="AF47" i="8"/>
  <c r="AA34" i="8"/>
  <c r="AF46" i="8"/>
  <c r="AA51" i="8"/>
  <c r="V47" i="8"/>
  <c r="AF4" i="8"/>
  <c r="V46" i="8"/>
  <c r="V30" i="8"/>
  <c r="V14" i="8"/>
  <c r="AA49" i="8"/>
  <c r="AA33" i="8"/>
  <c r="AA17" i="8"/>
  <c r="AF35" i="8"/>
  <c r="AF19" i="8"/>
  <c r="V45" i="8"/>
  <c r="V29" i="8"/>
  <c r="V13" i="8"/>
  <c r="AA48" i="8"/>
  <c r="AA32" i="8"/>
  <c r="AA16" i="8"/>
  <c r="AF50" i="8"/>
  <c r="AF34" i="8"/>
  <c r="AA35" i="8"/>
  <c r="AF36" i="8"/>
  <c r="AF33" i="8"/>
  <c r="AF16" i="8"/>
  <c r="V10" i="8"/>
  <c r="AF29" i="8"/>
  <c r="AA10" i="8"/>
  <c r="AF44" i="8"/>
  <c r="AF28" i="8"/>
  <c r="AF12" i="8"/>
  <c r="AA31" i="8"/>
  <c r="AA30" i="8"/>
  <c r="V9" i="8"/>
  <c r="V39" i="8"/>
  <c r="V38" i="8"/>
  <c r="V22" i="8"/>
  <c r="V6" i="8"/>
  <c r="AA41" i="8"/>
  <c r="AA25" i="8"/>
  <c r="AA9" i="8"/>
  <c r="AF43" i="8"/>
  <c r="AF27" i="8"/>
  <c r="AF11" i="8"/>
  <c r="AA19" i="8"/>
  <c r="V15" i="8"/>
  <c r="AA46" i="8"/>
  <c r="V42" i="8"/>
  <c r="AA13" i="8"/>
  <c r="AF30" i="8"/>
  <c r="AA11" i="8"/>
  <c r="V23" i="8"/>
  <c r="V37" i="8"/>
  <c r="V21" i="8"/>
  <c r="V5" i="8"/>
  <c r="AA40" i="8"/>
  <c r="AA24" i="8"/>
  <c r="AA8" i="8"/>
  <c r="AF42" i="8"/>
  <c r="AF26" i="8"/>
  <c r="AF10" i="8"/>
  <c r="AF21" i="8"/>
  <c r="AA18" i="8"/>
  <c r="AF17" i="8"/>
  <c r="AA14" i="8"/>
  <c r="AF15" i="8"/>
  <c r="AA44" i="8"/>
  <c r="AF13" i="8"/>
  <c r="V36" i="8"/>
  <c r="V20" i="8"/>
  <c r="V4" i="8"/>
  <c r="AA39" i="8"/>
  <c r="AA23" i="8"/>
  <c r="AA7" i="8"/>
  <c r="AF41" i="8"/>
  <c r="AF25" i="8"/>
  <c r="AF9" i="8"/>
  <c r="AA50" i="8"/>
  <c r="AA15" i="8"/>
  <c r="AF32" i="8"/>
  <c r="AF31" i="8"/>
  <c r="AF14" i="8"/>
  <c r="AA27" i="8"/>
  <c r="V7" i="8"/>
  <c r="V51" i="8"/>
  <c r="V19" i="8"/>
  <c r="V3" i="8"/>
  <c r="AA38" i="8"/>
  <c r="AA22" i="8"/>
  <c r="AA6" i="8"/>
  <c r="AF40" i="8"/>
  <c r="AF24" i="8"/>
  <c r="AF8" i="8"/>
  <c r="V16" i="8"/>
  <c r="V12" i="8"/>
  <c r="AA29" i="8"/>
  <c r="AA12" i="8"/>
  <c r="V8" i="8"/>
  <c r="AA42" i="8"/>
  <c r="V52" i="8"/>
  <c r="V50" i="8"/>
  <c r="AA37" i="8"/>
  <c r="AA21" i="8"/>
  <c r="AA5" i="8"/>
  <c r="AF39" i="8"/>
  <c r="AF23" i="8"/>
  <c r="AF7" i="8"/>
  <c r="V32" i="8"/>
  <c r="AF5" i="8"/>
  <c r="V31" i="8"/>
  <c r="AF20" i="8"/>
  <c r="V44" i="8"/>
  <c r="V28" i="8"/>
  <c r="AA47" i="8"/>
  <c r="V43" i="8"/>
  <c r="V27" i="8"/>
  <c r="V11" i="8"/>
  <c r="V26" i="8"/>
  <c r="AA45" i="8"/>
  <c r="V41" i="8"/>
  <c r="V25" i="8"/>
  <c r="AA28" i="8"/>
  <c r="V40" i="8"/>
  <c r="V24" i="8"/>
  <c r="AA43" i="8"/>
  <c r="AA26" i="8"/>
  <c r="V35" i="8"/>
  <c r="V34" i="8"/>
  <c r="V18" i="8"/>
  <c r="AA3" i="8"/>
  <c r="V49" i="8"/>
  <c r="V33" i="8"/>
  <c r="V17" i="8"/>
  <c r="AA52" i="8"/>
  <c r="AA36" i="8"/>
  <c r="AA20" i="8"/>
  <c r="AA4" i="8"/>
  <c r="AF38" i="8"/>
  <c r="AF22" i="8"/>
  <c r="AF6" i="8"/>
  <c r="AI13" i="27"/>
  <c r="AH13" i="27"/>
  <c r="AJ14" i="27"/>
  <c r="BO6" i="18" l="1"/>
  <c r="BP7" i="18"/>
  <c r="BM7" i="18"/>
  <c r="AK9" i="27"/>
  <c r="AI14" i="27"/>
  <c r="AH14" i="27"/>
  <c r="AI15" i="27"/>
  <c r="AJ15" i="27"/>
  <c r="BV57" i="18" l="1"/>
  <c r="BV56" i="18"/>
  <c r="BV16" i="18"/>
  <c r="BV19" i="18"/>
  <c r="BV5" i="18"/>
  <c r="BV68" i="18"/>
  <c r="BV4" i="18"/>
  <c r="BV21" i="18"/>
  <c r="BV22" i="18"/>
  <c r="BV23" i="18"/>
  <c r="BV24" i="18"/>
  <c r="BV25" i="18"/>
  <c r="BV26" i="18"/>
  <c r="BV27" i="18"/>
  <c r="BV28" i="18"/>
  <c r="BV29" i="18"/>
  <c r="BV30" i="18"/>
  <c r="BV31" i="18"/>
  <c r="BV32" i="18"/>
  <c r="BV34" i="18"/>
  <c r="BV35" i="18"/>
  <c r="BV36" i="18"/>
  <c r="BV37" i="18"/>
  <c r="BV38" i="18"/>
  <c r="BV39" i="18"/>
  <c r="BV40" i="18"/>
  <c r="BV41" i="18"/>
  <c r="BV42" i="18"/>
  <c r="BV43" i="18"/>
  <c r="BV44" i="18"/>
  <c r="BV45" i="18"/>
  <c r="BV46" i="18"/>
  <c r="BV47" i="18"/>
  <c r="BV48" i="18"/>
  <c r="BV49" i="18"/>
  <c r="BV50" i="18"/>
  <c r="BV51" i="18"/>
  <c r="BV52" i="18"/>
  <c r="BV53" i="18"/>
  <c r="BV54" i="18"/>
  <c r="BV55" i="18"/>
  <c r="BV64" i="18"/>
  <c r="BV65" i="18"/>
  <c r="BV67" i="18"/>
  <c r="BV3" i="18"/>
  <c r="BV7" i="18"/>
  <c r="BV8" i="18"/>
  <c r="BV9" i="18"/>
  <c r="BV10" i="18"/>
  <c r="BV12" i="18"/>
  <c r="BV13" i="18"/>
  <c r="BV15" i="18"/>
  <c r="BV18" i="18"/>
  <c r="BV20" i="18"/>
  <c r="BV33" i="18"/>
  <c r="BV58" i="18"/>
  <c r="BV59" i="18"/>
  <c r="BV60" i="18"/>
  <c r="BV61" i="18"/>
  <c r="BV62" i="18"/>
  <c r="BV63" i="18"/>
  <c r="BV66" i="18"/>
  <c r="BV6" i="18"/>
  <c r="BV11" i="18"/>
  <c r="BV17" i="18"/>
  <c r="BV2" i="18"/>
  <c r="BV14" i="18"/>
  <c r="BN7" i="18"/>
  <c r="BS3" i="18" s="1"/>
  <c r="BO7" i="18"/>
  <c r="BM8" i="18"/>
  <c r="BP8" i="18"/>
  <c r="AH15" i="27"/>
  <c r="AK11" i="27" s="1"/>
  <c r="AK10" i="27"/>
  <c r="AG16" i="27"/>
  <c r="AJ16" i="27"/>
  <c r="BM9" i="18" l="1"/>
  <c r="BP10" i="18" s="1"/>
  <c r="BO8" i="18"/>
  <c r="BN8" i="18"/>
  <c r="BS4" i="18" s="1"/>
  <c r="BP9" i="18"/>
  <c r="AI16" i="27"/>
  <c r="AH16" i="27"/>
  <c r="AJ17" i="27"/>
  <c r="AG17" i="27"/>
  <c r="Y4" i="8"/>
  <c r="Y3" i="8"/>
  <c r="W3" i="8"/>
  <c r="BM10" i="18" l="1"/>
  <c r="BN10" i="18" s="1"/>
  <c r="BS6" i="18" s="1"/>
  <c r="BO9" i="18"/>
  <c r="BN9" i="18"/>
  <c r="BS5" i="18" s="1"/>
  <c r="AK12" i="27"/>
  <c r="AI17" i="27"/>
  <c r="AH17" i="27"/>
  <c r="AK13" i="27" s="1"/>
  <c r="AJ18" i="27"/>
  <c r="AG18" i="27"/>
  <c r="BM11" i="18" l="1"/>
  <c r="BP12" i="18" s="1"/>
  <c r="BP11" i="18"/>
  <c r="BO10" i="18"/>
  <c r="AI18" i="27"/>
  <c r="AH18" i="27"/>
  <c r="AK14" i="27" s="1"/>
  <c r="AG19" i="27"/>
  <c r="AJ19" i="27"/>
  <c r="BM12" i="18" l="1"/>
  <c r="BP13" i="18" s="1"/>
  <c r="BN11" i="18"/>
  <c r="BS7" i="18" s="1"/>
  <c r="BO11" i="18"/>
  <c r="AI19" i="27"/>
  <c r="AH19" i="27"/>
  <c r="AJ20" i="27"/>
  <c r="AG20" i="27"/>
  <c r="BM13" i="18" l="1"/>
  <c r="BN13" i="18" s="1"/>
  <c r="BS9" i="18" s="1"/>
  <c r="BN12" i="18"/>
  <c r="BS8" i="18" s="1"/>
  <c r="BO12" i="18"/>
  <c r="AI20" i="27"/>
  <c r="AH20" i="27"/>
  <c r="AK16" i="27" s="1"/>
  <c r="AK15" i="27"/>
  <c r="AJ21" i="27"/>
  <c r="AG21" i="27"/>
  <c r="BP14" i="18" l="1"/>
  <c r="BM14" i="18"/>
  <c r="BO14" i="18" s="1"/>
  <c r="BO13" i="18"/>
  <c r="AI21" i="27"/>
  <c r="AH21" i="27"/>
  <c r="J38" i="16"/>
  <c r="K39" i="16"/>
  <c r="K40" i="16" s="1"/>
  <c r="J39" i="16"/>
  <c r="K38" i="16"/>
  <c r="Y2" i="16"/>
  <c r="Y3" i="16"/>
  <c r="Y4" i="16"/>
  <c r="Y5" i="16"/>
  <c r="Y6" i="16"/>
  <c r="CM2" i="10"/>
  <c r="CR2" i="10" s="1"/>
  <c r="L2" i="16"/>
  <c r="L1" i="16"/>
  <c r="AN14" i="27" l="1"/>
  <c r="AN12" i="27"/>
  <c r="AN13" i="27"/>
  <c r="AN11" i="27"/>
  <c r="BP15" i="18"/>
  <c r="BM15" i="18"/>
  <c r="BO15" i="18" s="1"/>
  <c r="BN14" i="18"/>
  <c r="BS10" i="18" s="1"/>
  <c r="V4" i="16"/>
  <c r="X4" i="16"/>
  <c r="W4" i="16"/>
  <c r="AB34" i="2" s="1"/>
  <c r="X5" i="16"/>
  <c r="W5" i="16"/>
  <c r="AB35" i="2" s="1"/>
  <c r="V5" i="16"/>
  <c r="AA6" i="16"/>
  <c r="AD36" i="2" s="1"/>
  <c r="X6" i="16"/>
  <c r="V6" i="16"/>
  <c r="W6" i="16"/>
  <c r="AB36" i="2" s="1"/>
  <c r="W3" i="16"/>
  <c r="AB33" i="2" s="1"/>
  <c r="V3" i="16"/>
  <c r="X3" i="16"/>
  <c r="X2" i="16"/>
  <c r="W2" i="16"/>
  <c r="AB32" i="2" s="1"/>
  <c r="V2" i="16"/>
  <c r="AB21" i="16"/>
  <c r="Z21" i="16"/>
  <c r="AN2" i="27"/>
  <c r="AN15" i="27"/>
  <c r="AN10" i="27"/>
  <c r="AN7" i="27"/>
  <c r="AN6" i="27"/>
  <c r="AN4" i="27"/>
  <c r="AN5" i="27"/>
  <c r="AN3" i="27"/>
  <c r="AN9" i="27"/>
  <c r="AN8" i="27"/>
  <c r="AK17" i="27"/>
  <c r="AG16" i="8"/>
  <c r="AI16" i="8"/>
  <c r="AG15" i="8"/>
  <c r="AI15" i="8"/>
  <c r="AI30" i="8"/>
  <c r="AB48" i="8"/>
  <c r="AD48" i="8"/>
  <c r="AG29" i="8"/>
  <c r="AI29" i="8"/>
  <c r="AG28" i="8"/>
  <c r="AI28" i="8"/>
  <c r="AG12" i="8"/>
  <c r="AI12" i="8"/>
  <c r="AB46" i="8"/>
  <c r="AD46" i="8"/>
  <c r="AG49" i="8"/>
  <c r="AI49" i="8"/>
  <c r="AG27" i="8"/>
  <c r="AI27" i="8"/>
  <c r="AG11" i="8"/>
  <c r="AI11" i="8"/>
  <c r="AB45" i="8"/>
  <c r="AD45" i="8"/>
  <c r="AG48" i="8"/>
  <c r="AI48" i="8"/>
  <c r="AG26" i="8"/>
  <c r="AI26" i="8"/>
  <c r="AG10" i="8"/>
  <c r="AI10" i="8"/>
  <c r="AB44" i="8"/>
  <c r="AD44" i="8"/>
  <c r="AG47" i="8"/>
  <c r="AI47" i="8"/>
  <c r="AG25" i="8"/>
  <c r="AI25" i="8"/>
  <c r="AG9" i="8"/>
  <c r="AI9" i="8"/>
  <c r="AG46" i="8"/>
  <c r="AI46" i="8"/>
  <c r="AG32" i="8"/>
  <c r="AI32" i="8"/>
  <c r="AB50" i="8"/>
  <c r="AD50" i="8"/>
  <c r="AB49" i="8"/>
  <c r="AD49" i="8"/>
  <c r="AG52" i="8"/>
  <c r="AI52" i="8"/>
  <c r="AG14" i="8"/>
  <c r="AI14" i="8"/>
  <c r="AG51" i="8"/>
  <c r="AI51" i="8"/>
  <c r="AG13" i="8"/>
  <c r="AI13" i="8"/>
  <c r="AG50" i="8"/>
  <c r="AI50" i="8"/>
  <c r="AG24" i="8"/>
  <c r="AI24" i="8"/>
  <c r="AG8" i="8"/>
  <c r="AI8" i="8"/>
  <c r="AG45" i="8"/>
  <c r="AI45" i="8"/>
  <c r="AG23" i="8"/>
  <c r="AI23" i="8"/>
  <c r="AG7" i="8"/>
  <c r="AI7" i="8"/>
  <c r="AB43" i="8"/>
  <c r="AD43" i="8"/>
  <c r="AG22" i="8"/>
  <c r="AI22" i="8"/>
  <c r="AG6" i="8"/>
  <c r="AI6" i="8"/>
  <c r="AG43" i="8"/>
  <c r="AI43" i="8"/>
  <c r="Y23" i="8"/>
  <c r="AG37" i="8"/>
  <c r="AI37" i="8"/>
  <c r="AG21" i="8"/>
  <c r="AI21" i="8"/>
  <c r="AG5" i="8"/>
  <c r="AI5" i="8"/>
  <c r="AG42" i="8"/>
  <c r="AI42" i="8"/>
  <c r="AG36" i="8"/>
  <c r="AI36" i="8"/>
  <c r="AG20" i="8"/>
  <c r="AI20" i="8"/>
  <c r="AG4" i="8"/>
  <c r="AI4" i="8"/>
  <c r="AG41" i="8"/>
  <c r="AI41" i="8"/>
  <c r="AG44" i="8"/>
  <c r="AI44" i="8"/>
  <c r="AG35" i="8"/>
  <c r="AI35" i="8"/>
  <c r="AG19" i="8"/>
  <c r="AI19" i="8"/>
  <c r="AG3" i="8"/>
  <c r="AI3" i="8"/>
  <c r="AG40" i="8"/>
  <c r="AI40" i="8"/>
  <c r="AG34" i="8"/>
  <c r="AI34" i="8"/>
  <c r="AG18" i="8"/>
  <c r="AI18" i="8"/>
  <c r="AB52" i="8"/>
  <c r="AD52" i="8"/>
  <c r="AG39" i="8"/>
  <c r="AI39" i="8"/>
  <c r="AG31" i="8"/>
  <c r="AI31" i="8"/>
  <c r="AB47" i="8"/>
  <c r="AD47" i="8"/>
  <c r="AG33" i="8"/>
  <c r="AI33" i="8"/>
  <c r="AG17" i="8"/>
  <c r="AI17" i="8"/>
  <c r="AB51" i="8"/>
  <c r="AD51" i="8"/>
  <c r="AG38" i="8"/>
  <c r="AI38" i="8"/>
  <c r="AG30" i="8"/>
  <c r="BM16" i="18" l="1"/>
  <c r="BP16" i="18"/>
  <c r="BN15" i="18"/>
  <c r="BS11" i="18" s="1"/>
  <c r="BO16" i="18"/>
  <c r="AB6" i="16"/>
  <c r="AL6" i="27" a="1"/>
  <c r="AL6" i="27" s="1"/>
  <c r="AL3" i="27" a="1"/>
  <c r="AL3" i="27" s="1"/>
  <c r="AL7" i="27" a="1"/>
  <c r="AL7" i="27" s="1"/>
  <c r="AL5" i="27" a="1"/>
  <c r="AL5" i="27" s="1"/>
  <c r="AL14" i="27" a="1"/>
  <c r="AL14" i="27" s="1"/>
  <c r="AL16" i="27" a="1"/>
  <c r="AL16" i="27" s="1"/>
  <c r="AL9" i="27" a="1"/>
  <c r="AL9" i="27" s="1"/>
  <c r="AL2" i="27" a="1"/>
  <c r="AL2" i="27" s="1"/>
  <c r="AL12" i="27" a="1"/>
  <c r="AL12" i="27" s="1"/>
  <c r="AL10" i="27" a="1"/>
  <c r="AL10" i="27" s="1"/>
  <c r="AL8" i="27" a="1"/>
  <c r="AL8" i="27" s="1"/>
  <c r="AL15" i="27" a="1"/>
  <c r="AL15" i="27" s="1"/>
  <c r="AL4" i="27" a="1"/>
  <c r="AL4" i="27" s="1"/>
  <c r="AL13" i="27" a="1"/>
  <c r="AL13" i="27" s="1"/>
  <c r="AL11" i="27" a="1"/>
  <c r="AL11" i="27" s="1"/>
  <c r="AL17" i="27" a="1"/>
  <c r="AL17" i="27" s="1"/>
  <c r="BJ21" i="18"/>
  <c r="BJ20" i="18"/>
  <c r="BJ19" i="18"/>
  <c r="BJ18" i="18"/>
  <c r="BJ17" i="18"/>
  <c r="BJ16" i="18"/>
  <c r="CM22" i="10"/>
  <c r="CR22" i="10" s="1"/>
  <c r="CM21" i="10"/>
  <c r="CR21" i="10" s="1"/>
  <c r="CM20" i="10"/>
  <c r="CR20" i="10" s="1"/>
  <c r="CM19" i="10"/>
  <c r="CR19" i="10" s="1"/>
  <c r="CM18" i="10"/>
  <c r="CR18" i="10" s="1"/>
  <c r="CM17" i="10"/>
  <c r="CR17" i="10" s="1"/>
  <c r="CM16" i="10"/>
  <c r="CR16" i="10" s="1"/>
  <c r="CM15" i="10"/>
  <c r="CR15" i="10" s="1"/>
  <c r="CM14" i="10"/>
  <c r="CR14" i="10" s="1"/>
  <c r="CM13" i="10"/>
  <c r="CR13" i="10" s="1"/>
  <c r="CM11" i="10"/>
  <c r="CR11" i="10" s="1"/>
  <c r="CL22" i="10"/>
  <c r="CL21" i="10"/>
  <c r="CL20" i="10"/>
  <c r="CL19" i="10"/>
  <c r="CL18" i="10"/>
  <c r="CL17" i="10"/>
  <c r="CL16" i="10"/>
  <c r="CL15" i="10"/>
  <c r="CL14" i="10"/>
  <c r="CL13" i="10"/>
  <c r="CL11" i="10"/>
  <c r="CM10" i="10"/>
  <c r="CR10" i="10" s="1"/>
  <c r="CM9" i="10"/>
  <c r="CR9" i="10" s="1"/>
  <c r="CM8" i="10"/>
  <c r="CR8" i="10" s="1"/>
  <c r="CM7" i="10"/>
  <c r="CR7" i="10" s="1"/>
  <c r="CM6" i="10"/>
  <c r="CR6" i="10" s="1"/>
  <c r="CM5" i="10"/>
  <c r="CR5" i="10" s="1"/>
  <c r="CM4" i="10"/>
  <c r="CR4" i="10" s="1"/>
  <c r="CM3" i="10"/>
  <c r="CR3" i="10" s="1"/>
  <c r="CL10" i="10"/>
  <c r="CL9" i="10"/>
  <c r="CL8" i="10"/>
  <c r="CL7" i="10"/>
  <c r="CL6" i="10"/>
  <c r="CL5" i="10"/>
  <c r="CL4" i="10"/>
  <c r="CL3" i="10"/>
  <c r="CL2" i="10"/>
  <c r="BN16" i="18" l="1"/>
  <c r="BS12" i="18" s="1"/>
  <c r="BM17" i="18"/>
  <c r="BO17" i="18" s="1"/>
  <c r="BP17" i="18"/>
  <c r="CO134" i="10"/>
  <c r="CO133" i="10"/>
  <c r="CO132" i="10"/>
  <c r="CO131" i="10"/>
  <c r="CO130" i="10"/>
  <c r="CO129" i="10"/>
  <c r="CO128" i="10"/>
  <c r="CO127" i="10"/>
  <c r="CO126" i="10"/>
  <c r="CO125" i="10"/>
  <c r="CO123" i="10"/>
  <c r="CO122" i="10"/>
  <c r="CO121" i="10"/>
  <c r="CO120" i="10"/>
  <c r="BN17" i="18" l="1"/>
  <c r="BS13" i="18" s="1"/>
  <c r="BM18" i="18"/>
  <c r="BP18" i="18"/>
  <c r="BN18" i="18" l="1"/>
  <c r="BS14" i="18" s="1"/>
  <c r="BO18" i="18"/>
  <c r="BP19" i="18"/>
  <c r="BM19" i="18"/>
  <c r="BN19" i="18"/>
  <c r="BS15" i="18" s="1"/>
  <c r="BO19" i="18" l="1"/>
  <c r="BM20" i="18"/>
  <c r="BP20" i="18"/>
  <c r="BO20" i="18"/>
  <c r="BN20" i="18"/>
  <c r="BS16" i="18" s="1"/>
  <c r="U51" i="3"/>
  <c r="E22" i="16"/>
  <c r="F22" i="16" s="1"/>
  <c r="E21" i="16"/>
  <c r="F21" i="16" s="1"/>
  <c r="E20" i="16"/>
  <c r="F20" i="16" s="1"/>
  <c r="E19" i="16"/>
  <c r="F19" i="16" s="1"/>
  <c r="E18" i="16"/>
  <c r="F18" i="16" s="1"/>
  <c r="BU21" i="18"/>
  <c r="BU20" i="18"/>
  <c r="BU19" i="18"/>
  <c r="BU18" i="18"/>
  <c r="BU17" i="18"/>
  <c r="BU16" i="18"/>
  <c r="BU15" i="18"/>
  <c r="BU14" i="18"/>
  <c r="BU13" i="18"/>
  <c r="BU12" i="18"/>
  <c r="BU11" i="18"/>
  <c r="BU10" i="18"/>
  <c r="BU9" i="18"/>
  <c r="BU8" i="18"/>
  <c r="BU7" i="18"/>
  <c r="BU6" i="18"/>
  <c r="BU5" i="18"/>
  <c r="BU4" i="18"/>
  <c r="BU3" i="18"/>
  <c r="CF23" i="10"/>
  <c r="F18" i="2"/>
  <c r="T18" i="2" s="1"/>
  <c r="F17" i="2"/>
  <c r="T17" i="2" s="1"/>
  <c r="F16" i="2"/>
  <c r="T16" i="2" s="1"/>
  <c r="F15" i="2"/>
  <c r="T15" i="2" s="1"/>
  <c r="F14" i="2"/>
  <c r="T13" i="2"/>
  <c r="BP21" i="18" l="1"/>
  <c r="BM21" i="18"/>
  <c r="T14" i="2"/>
  <c r="BN21" i="18"/>
  <c r="BS17" i="18" s="1"/>
  <c r="BO21" i="18"/>
  <c r="BP22" i="18"/>
  <c r="BM22" i="18"/>
  <c r="Y27" i="8"/>
  <c r="Y12" i="8"/>
  <c r="AD41" i="8"/>
  <c r="AD42" i="8"/>
  <c r="AD27" i="8"/>
  <c r="AD28" i="8"/>
  <c r="AD13" i="8"/>
  <c r="Y17" i="8"/>
  <c r="AD30" i="8"/>
  <c r="Y42" i="8"/>
  <c r="AD25" i="8"/>
  <c r="Y13" i="8"/>
  <c r="Y16" i="8"/>
  <c r="Y32" i="8"/>
  <c r="Y33" i="8"/>
  <c r="Y49" i="8"/>
  <c r="AD15" i="8"/>
  <c r="AD31" i="8"/>
  <c r="AD8" i="8"/>
  <c r="Y43" i="8"/>
  <c r="Y44" i="8"/>
  <c r="Y47" i="8"/>
  <c r="AD14" i="8"/>
  <c r="Y34" i="8"/>
  <c r="Y50" i="8"/>
  <c r="AD16" i="8"/>
  <c r="AD32" i="8"/>
  <c r="Y28" i="8"/>
  <c r="AD10" i="8"/>
  <c r="Y46" i="8"/>
  <c r="Y48" i="8"/>
  <c r="Y19" i="8"/>
  <c r="Y20" i="8"/>
  <c r="Y35" i="8"/>
  <c r="Y51" i="8"/>
  <c r="AD17" i="8"/>
  <c r="AD33" i="8"/>
  <c r="Y29" i="8"/>
  <c r="Y18" i="8"/>
  <c r="Y5" i="8"/>
  <c r="Y21" i="8"/>
  <c r="Y36" i="8"/>
  <c r="Y52" i="8"/>
  <c r="AD18" i="8"/>
  <c r="AD34" i="8"/>
  <c r="Y45" i="8"/>
  <c r="Y31" i="8"/>
  <c r="Y37" i="8"/>
  <c r="AD35" i="8"/>
  <c r="Y38" i="8"/>
  <c r="AD4" i="8"/>
  <c r="AD20" i="8"/>
  <c r="AD36" i="8"/>
  <c r="Y15" i="8"/>
  <c r="Y22" i="8"/>
  <c r="AD3" i="8"/>
  <c r="Y7" i="8"/>
  <c r="Y8" i="8"/>
  <c r="Y24" i="8"/>
  <c r="Y39" i="8"/>
  <c r="AD5" i="8"/>
  <c r="AD21" i="8"/>
  <c r="AD37" i="8"/>
  <c r="AD40" i="8"/>
  <c r="Y30" i="8"/>
  <c r="Y6" i="8"/>
  <c r="AD19" i="8"/>
  <c r="Y9" i="8"/>
  <c r="Y25" i="8"/>
  <c r="Y40" i="8"/>
  <c r="AD6" i="8"/>
  <c r="AD22" i="8"/>
  <c r="AD38" i="8"/>
  <c r="Y11" i="8"/>
  <c r="AD24" i="8"/>
  <c r="AD9" i="8"/>
  <c r="AD26" i="8"/>
  <c r="Y14" i="8"/>
  <c r="AD11" i="8"/>
  <c r="AD12" i="8"/>
  <c r="AD29" i="8"/>
  <c r="Y10" i="8"/>
  <c r="Y26" i="8"/>
  <c r="Y41" i="8"/>
  <c r="AD7" i="8"/>
  <c r="AD23" i="8"/>
  <c r="AD39" i="8"/>
  <c r="R18" i="2"/>
  <c r="N5" i="10" s="1"/>
  <c r="U15" i="16"/>
  <c r="AS3" i="3"/>
  <c r="R60" i="2" s="1"/>
  <c r="V3" i="3"/>
  <c r="O60" i="2" s="1"/>
  <c r="R15" i="2"/>
  <c r="BF7" i="2" s="1"/>
  <c r="R17" i="2"/>
  <c r="R14" i="2"/>
  <c r="R13" i="2"/>
  <c r="I41" i="2" s="1"/>
  <c r="F17" i="16"/>
  <c r="R16" i="2"/>
  <c r="V10" i="10" l="1"/>
  <c r="W10" i="10"/>
  <c r="AA10" i="10"/>
  <c r="X10" i="10"/>
  <c r="AB10" i="10"/>
  <c r="Y10" i="10"/>
  <c r="N10" i="10"/>
  <c r="AC10" i="10"/>
  <c r="R10" i="10"/>
  <c r="T10" i="10"/>
  <c r="Q10" i="10"/>
  <c r="AD10" i="10"/>
  <c r="Z10" i="10"/>
  <c r="O10" i="10"/>
  <c r="S10" i="10"/>
  <c r="AE10" i="10"/>
  <c r="AG10" i="10"/>
  <c r="U10" i="10"/>
  <c r="P10" i="10"/>
  <c r="AF10" i="10"/>
  <c r="I62" i="2"/>
  <c r="CG72" i="10" s="1"/>
  <c r="I60" i="2"/>
  <c r="CG70" i="10" s="1"/>
  <c r="I61" i="2"/>
  <c r="CG71" i="10" s="1"/>
  <c r="I59" i="2"/>
  <c r="CG69" i="10" s="1"/>
  <c r="I55" i="2"/>
  <c r="CG66" i="10" s="1"/>
  <c r="I57" i="2"/>
  <c r="CG68" i="10" s="1"/>
  <c r="I54" i="2"/>
  <c r="CG65" i="10" s="1"/>
  <c r="I53" i="2"/>
  <c r="I56" i="2"/>
  <c r="CG67" i="10" s="1"/>
  <c r="I47" i="2"/>
  <c r="CG59" i="10" s="1"/>
  <c r="I51" i="2"/>
  <c r="CG63" i="10" s="1"/>
  <c r="I50" i="2"/>
  <c r="CG62" i="10" s="1"/>
  <c r="I49" i="2"/>
  <c r="CG61" i="10" s="1"/>
  <c r="I48" i="2"/>
  <c r="CG60" i="10" s="1"/>
  <c r="I44" i="2"/>
  <c r="CG57" i="10" s="1"/>
  <c r="I45" i="2"/>
  <c r="CG58" i="10" s="1"/>
  <c r="I43" i="2"/>
  <c r="CG56" i="10" s="1"/>
  <c r="BO22" i="18"/>
  <c r="BN22" i="18"/>
  <c r="BS18" i="18" s="1"/>
  <c r="V60" i="2"/>
  <c r="AG9" i="10"/>
  <c r="W9" i="10"/>
  <c r="R9" i="10"/>
  <c r="U9" i="10"/>
  <c r="Q9" i="10"/>
  <c r="AF9" i="10"/>
  <c r="P9" i="10"/>
  <c r="O9" i="10"/>
  <c r="AD9" i="10"/>
  <c r="AE9" i="10"/>
  <c r="AC9" i="10"/>
  <c r="AB9" i="10"/>
  <c r="AA9" i="10"/>
  <c r="T9" i="10"/>
  <c r="Z9" i="10"/>
  <c r="Y9" i="10"/>
  <c r="X9" i="10"/>
  <c r="V9" i="10"/>
  <c r="S9" i="10"/>
  <c r="N9" i="10"/>
  <c r="W4" i="10"/>
  <c r="N4" i="10"/>
  <c r="R3" i="10"/>
  <c r="X4" i="10"/>
  <c r="S4" i="10"/>
  <c r="N3" i="10"/>
  <c r="M17" i="10" s="1"/>
  <c r="Y4" i="10"/>
  <c r="U4" i="10"/>
  <c r="AB3" i="10"/>
  <c r="Z4" i="10"/>
  <c r="V4" i="10"/>
  <c r="AC3" i="10"/>
  <c r="AF3" i="10"/>
  <c r="AA4" i="10"/>
  <c r="S3" i="10"/>
  <c r="AD3" i="10"/>
  <c r="AC4" i="10"/>
  <c r="T3" i="10"/>
  <c r="AE3" i="10"/>
  <c r="O4" i="10"/>
  <c r="U3" i="10"/>
  <c r="Q3" i="10"/>
  <c r="W3" i="10"/>
  <c r="AE4" i="10"/>
  <c r="V3" i="10"/>
  <c r="AG3" i="10"/>
  <c r="T4" i="10"/>
  <c r="X3" i="10"/>
  <c r="AD4" i="10"/>
  <c r="Y3" i="10"/>
  <c r="AB4" i="10"/>
  <c r="Z3" i="10"/>
  <c r="P4" i="10"/>
  <c r="AA3" i="10"/>
  <c r="AF4" i="10"/>
  <c r="O3" i="10"/>
  <c r="Q4" i="10"/>
  <c r="P3" i="10"/>
  <c r="AG4" i="10"/>
  <c r="R4" i="10"/>
  <c r="AB5" i="10"/>
  <c r="Z5" i="10"/>
  <c r="AA5" i="10"/>
  <c r="AC5" i="10"/>
  <c r="O5" i="10"/>
  <c r="X5" i="10"/>
  <c r="AD5" i="10"/>
  <c r="W5" i="10"/>
  <c r="V5" i="10"/>
  <c r="Y5" i="10"/>
  <c r="U5" i="10"/>
  <c r="R5" i="10"/>
  <c r="T5" i="10"/>
  <c r="Q5" i="10"/>
  <c r="AF5" i="10"/>
  <c r="P5" i="10"/>
  <c r="AE5" i="10"/>
  <c r="S5" i="10"/>
  <c r="AG5" i="10"/>
  <c r="K66" i="2"/>
  <c r="K68" i="2"/>
  <c r="AA4" i="16"/>
  <c r="AD34" i="2" s="1"/>
  <c r="AA2" i="16"/>
  <c r="AA3" i="16"/>
  <c r="AD33" i="2" s="1"/>
  <c r="AA5" i="16"/>
  <c r="AD35" i="2" s="1"/>
  <c r="V24" i="16"/>
  <c r="CG13" i="10"/>
  <c r="CG10" i="10"/>
  <c r="T5" i="16"/>
  <c r="CG12" i="10"/>
  <c r="K67" i="2"/>
  <c r="V23" i="16"/>
  <c r="CG9" i="10"/>
  <c r="CG11" i="10"/>
  <c r="V25" i="16"/>
  <c r="W24" i="16"/>
  <c r="W25" i="16"/>
  <c r="BM23" i="18"/>
  <c r="BP23" i="18"/>
  <c r="G66" i="2"/>
  <c r="G67" i="2"/>
  <c r="G68" i="2"/>
  <c r="D24" i="2"/>
  <c r="W36" i="16"/>
  <c r="W30" i="16"/>
  <c r="W26" i="16"/>
  <c r="W29" i="8"/>
  <c r="AB39" i="8"/>
  <c r="AB15" i="8"/>
  <c r="AB8" i="8"/>
  <c r="W30" i="8"/>
  <c r="W49" i="8"/>
  <c r="W4" i="8"/>
  <c r="W21" i="8"/>
  <c r="W43" i="8"/>
  <c r="W5" i="8"/>
  <c r="W42" i="8"/>
  <c r="AB36" i="8"/>
  <c r="AB23" i="8"/>
  <c r="W7" i="8"/>
  <c r="AB13" i="8"/>
  <c r="W24" i="8"/>
  <c r="W11" i="8"/>
  <c r="W28" i="8"/>
  <c r="AB42" i="8"/>
  <c r="AB10" i="8"/>
  <c r="AB30" i="8"/>
  <c r="W36" i="8"/>
  <c r="W14" i="8"/>
  <c r="AB3" i="8"/>
  <c r="AB40" i="8"/>
  <c r="W32" i="8"/>
  <c r="U14" i="16"/>
  <c r="V14" i="16"/>
  <c r="U12" i="16"/>
  <c r="U16" i="16"/>
  <c r="V15" i="16"/>
  <c r="V13" i="16"/>
  <c r="Z36" i="2"/>
  <c r="V16" i="16"/>
  <c r="V12" i="16"/>
  <c r="T15" i="16"/>
  <c r="T35" i="16"/>
  <c r="T31" i="16"/>
  <c r="T30" i="16"/>
  <c r="U13" i="16" s="1"/>
  <c r="T29" i="16"/>
  <c r="W35" i="16"/>
  <c r="W32" i="16"/>
  <c r="W33" i="16"/>
  <c r="W31" i="16"/>
  <c r="W34" i="16"/>
  <c r="L29" i="16"/>
  <c r="W28" i="16"/>
  <c r="W29" i="16"/>
  <c r="W27" i="16"/>
  <c r="W22" i="16"/>
  <c r="W23" i="16"/>
  <c r="W21" i="16"/>
  <c r="AA21" i="16" s="1"/>
  <c r="V22" i="2"/>
  <c r="L28" i="16"/>
  <c r="W19" i="8"/>
  <c r="AB32" i="8"/>
  <c r="AB37" i="8"/>
  <c r="AB35" i="8"/>
  <c r="W34" i="8"/>
  <c r="AB5" i="8"/>
  <c r="W52" i="8"/>
  <c r="W47" i="8"/>
  <c r="AB19" i="8"/>
  <c r="AB18" i="8"/>
  <c r="W46" i="8"/>
  <c r="W40" i="8"/>
  <c r="W12" i="8"/>
  <c r="W41" i="8"/>
  <c r="W18" i="8"/>
  <c r="D22" i="2"/>
  <c r="AB4" i="8"/>
  <c r="AB11" i="8"/>
  <c r="AB20" i="8"/>
  <c r="W35" i="8"/>
  <c r="AB9" i="8"/>
  <c r="AB25" i="8"/>
  <c r="W9" i="8"/>
  <c r="W31" i="8"/>
  <c r="W37" i="8"/>
  <c r="AB24" i="8"/>
  <c r="W20" i="8"/>
  <c r="AB21" i="8"/>
  <c r="W44" i="8"/>
  <c r="AB33" i="8"/>
  <c r="W33" i="8"/>
  <c r="W10" i="8"/>
  <c r="W23" i="8"/>
  <c r="W50" i="8"/>
  <c r="AB28" i="8"/>
  <c r="AB29" i="8"/>
  <c r="AB34" i="8"/>
  <c r="W25" i="8"/>
  <c r="AB26" i="8"/>
  <c r="W17" i="8"/>
  <c r="W38" i="8"/>
  <c r="AB38" i="8"/>
  <c r="AB27" i="8"/>
  <c r="W48" i="8"/>
  <c r="AB16" i="8"/>
  <c r="W8" i="8"/>
  <c r="AB7" i="8"/>
  <c r="AB22" i="8"/>
  <c r="W51" i="8"/>
  <c r="W16" i="8"/>
  <c r="W15" i="8"/>
  <c r="AB17" i="8"/>
  <c r="W26" i="8"/>
  <c r="W13" i="8"/>
  <c r="AB31" i="8"/>
  <c r="W22" i="8"/>
  <c r="W27" i="8"/>
  <c r="W39" i="8"/>
  <c r="W6" i="8"/>
  <c r="W45" i="8"/>
  <c r="AB41" i="8"/>
  <c r="AB14" i="8"/>
  <c r="AB12" i="8"/>
  <c r="AB6" i="8"/>
  <c r="CG64" i="10" l="1"/>
  <c r="L23" i="2"/>
  <c r="AV1" i="2" s="1"/>
  <c r="AD32" i="2"/>
  <c r="AB2" i="16"/>
  <c r="BN23" i="18"/>
  <c r="BS19" i="18" s="1"/>
  <c r="BO23" i="18"/>
  <c r="AB4" i="16"/>
  <c r="Z34" i="2"/>
  <c r="Z35" i="2"/>
  <c r="AB5" i="16"/>
  <c r="Z33" i="2"/>
  <c r="AB3" i="16"/>
  <c r="Z32" i="2"/>
  <c r="AF40" i="2"/>
  <c r="AI40" i="2"/>
  <c r="CG55" i="10"/>
  <c r="BP24" i="18"/>
  <c r="BM24" i="18"/>
  <c r="BO24" i="18" l="1"/>
  <c r="BN24" i="18"/>
  <c r="BS20" i="18" s="1"/>
  <c r="D23" i="2"/>
  <c r="BM25" i="18"/>
  <c r="BP25" i="18"/>
  <c r="BO25" i="18" l="1"/>
  <c r="BN25" i="18"/>
  <c r="BS21" i="18" s="1"/>
  <c r="B8" i="28"/>
  <c r="BP26" i="18"/>
  <c r="BM26" i="18"/>
  <c r="BN26" i="18" l="1"/>
  <c r="BS22" i="18" s="1"/>
  <c r="BO26" i="18"/>
  <c r="BM27" i="18"/>
  <c r="BP27" i="18"/>
  <c r="BN27" i="18" l="1"/>
  <c r="BS23" i="18" s="1"/>
  <c r="BO27" i="18"/>
  <c r="BP28" i="18"/>
  <c r="BM28" i="18"/>
  <c r="BO28" i="18" l="1"/>
  <c r="BN28" i="18"/>
  <c r="BS24" i="18" s="1"/>
  <c r="BP29" i="18"/>
  <c r="BM29" i="18"/>
  <c r="BO29" i="18" l="1"/>
  <c r="BN29" i="18"/>
  <c r="BS25" i="18" s="1"/>
  <c r="BM30" i="18"/>
  <c r="BP30" i="18"/>
  <c r="BO30" i="18" l="1"/>
  <c r="BN30" i="18"/>
  <c r="BS26" i="18" s="1"/>
  <c r="BM31" i="18"/>
  <c r="BP31" i="18"/>
  <c r="BN31" i="18" l="1"/>
  <c r="BS27" i="18" s="1"/>
  <c r="BO31" i="18"/>
  <c r="BP32" i="18"/>
  <c r="BM32" i="18"/>
  <c r="BO32" i="18" l="1"/>
  <c r="BN32" i="18"/>
  <c r="BS28" i="18" s="1"/>
  <c r="BM33" i="18"/>
  <c r="BP33" i="18"/>
  <c r="BO33" i="18" l="1"/>
  <c r="BN33" i="18"/>
  <c r="BS29" i="18" s="1"/>
  <c r="BP34" i="18"/>
  <c r="BM34" i="18"/>
  <c r="BN34" i="18" l="1"/>
  <c r="BS30" i="18" s="1"/>
  <c r="BO34" i="18"/>
  <c r="BP35" i="18"/>
  <c r="BM35" i="18"/>
  <c r="BN35" i="18" l="1"/>
  <c r="BS31" i="18" s="1"/>
  <c r="BO35" i="18"/>
  <c r="BP36" i="18"/>
  <c r="BM36" i="18"/>
  <c r="BO36" i="18" l="1"/>
  <c r="BN36" i="18"/>
  <c r="BS32" i="18" s="1"/>
  <c r="BM37" i="18"/>
  <c r="BP37" i="18"/>
  <c r="BO37" i="18" l="1"/>
  <c r="BN37" i="18"/>
  <c r="BS33" i="18" s="1"/>
  <c r="BM38" i="18"/>
  <c r="BP38" i="18"/>
  <c r="BO38" i="18" l="1"/>
  <c r="BN38" i="18"/>
  <c r="BS34" i="18" s="1"/>
  <c r="BM39" i="18"/>
  <c r="BP39" i="18"/>
  <c r="BN39" i="18" l="1"/>
  <c r="BS35" i="18" s="1"/>
  <c r="BO39" i="18"/>
  <c r="BP40" i="18"/>
  <c r="BM40" i="18"/>
  <c r="BO40" i="18" l="1"/>
  <c r="BN40" i="18"/>
  <c r="BS36" i="18" s="1"/>
  <c r="BM41" i="18"/>
  <c r="BP41" i="18"/>
  <c r="BO41" i="18" l="1"/>
  <c r="BN41" i="18"/>
  <c r="BS37" i="18" s="1"/>
  <c r="BM42" i="18"/>
  <c r="BP42" i="18"/>
  <c r="BN42" i="18" l="1"/>
  <c r="BS38" i="18" s="1"/>
  <c r="BO42" i="18"/>
  <c r="BM43" i="18"/>
  <c r="BP43" i="18"/>
  <c r="BN43" i="18" l="1"/>
  <c r="BS39" i="18" s="1"/>
  <c r="BO43" i="18"/>
  <c r="BP44" i="18"/>
  <c r="BM44" i="18"/>
  <c r="BO44" i="18" l="1"/>
  <c r="BN44" i="18"/>
  <c r="BS40" i="18" s="1"/>
  <c r="BP45" i="18"/>
  <c r="BM45" i="18"/>
  <c r="BO45" i="18" l="1"/>
  <c r="BN45" i="18"/>
  <c r="BS41" i="18" s="1"/>
  <c r="BP46" i="18"/>
  <c r="BM46" i="18"/>
  <c r="BO46" i="18" l="1"/>
  <c r="BN46" i="18"/>
  <c r="BS42" i="18" s="1"/>
  <c r="BM47" i="18"/>
  <c r="BP47" i="18"/>
  <c r="BN47" i="18" l="1"/>
  <c r="BS43" i="18" s="1"/>
  <c r="BO47" i="18"/>
  <c r="BP48" i="18"/>
  <c r="BM48" i="18"/>
  <c r="BO48" i="18" l="1"/>
  <c r="BN48" i="18"/>
  <c r="BS44" i="18" s="1"/>
  <c r="BM49" i="18"/>
  <c r="BP49" i="18"/>
  <c r="BO49" i="18" l="1"/>
  <c r="BN49" i="18"/>
  <c r="BS45" i="18" s="1"/>
  <c r="BM50" i="18"/>
  <c r="BP50" i="18"/>
  <c r="BN50" i="18" l="1"/>
  <c r="BS46" i="18" s="1"/>
  <c r="BO50" i="18"/>
  <c r="BP51" i="18"/>
  <c r="BM51" i="18"/>
  <c r="BN51" i="18" l="1"/>
  <c r="BS47" i="18" s="1"/>
  <c r="BO51" i="18"/>
  <c r="BP52" i="18"/>
  <c r="BM52" i="18"/>
  <c r="BO52" i="18" l="1"/>
  <c r="BN52" i="18"/>
  <c r="BS48" i="18" s="1"/>
  <c r="BM53" i="18"/>
  <c r="BP53" i="18"/>
  <c r="BO53" i="18" l="1"/>
  <c r="BN53" i="18"/>
  <c r="BS49" i="18" s="1"/>
  <c r="BP54" i="18"/>
  <c r="BM54" i="18"/>
  <c r="BO54" i="18" l="1"/>
  <c r="BN54" i="18"/>
  <c r="BS50" i="18" s="1"/>
  <c r="BM55" i="18"/>
  <c r="BP55" i="18"/>
  <c r="BN55" i="18" l="1"/>
  <c r="BS51" i="18" s="1"/>
  <c r="BO55" i="18"/>
  <c r="BP56" i="18"/>
  <c r="BM56" i="18"/>
  <c r="BO56" i="18" l="1"/>
  <c r="BN56" i="18"/>
  <c r="BS52" i="18" s="1"/>
  <c r="BM57" i="18"/>
  <c r="BP57" i="18"/>
  <c r="BO57" i="18" l="1"/>
  <c r="BN57" i="18"/>
  <c r="BS53" i="18" s="1"/>
  <c r="BM58" i="18"/>
  <c r="BP58" i="18"/>
  <c r="BN58" i="18" l="1"/>
  <c r="BS54" i="18" s="1"/>
  <c r="BO58" i="18"/>
  <c r="BM59" i="18"/>
  <c r="BP59" i="18"/>
  <c r="BO59" i="18" l="1"/>
  <c r="BN59" i="18"/>
  <c r="BS55" i="18" s="1"/>
  <c r="BP60" i="18"/>
  <c r="BM60" i="18"/>
  <c r="BO60" i="18" l="1"/>
  <c r="BN60" i="18"/>
  <c r="BS56" i="18" s="1"/>
  <c r="BM61" i="18"/>
  <c r="BP61" i="18"/>
  <c r="BO61" i="18" l="1"/>
  <c r="BN61" i="18"/>
  <c r="BS57" i="18" s="1"/>
  <c r="BM62" i="18"/>
  <c r="BP62" i="18"/>
  <c r="BO62" i="18" l="1"/>
  <c r="BN62" i="18"/>
  <c r="BS58" i="18" s="1"/>
  <c r="BP63" i="18"/>
  <c r="BM63" i="18"/>
  <c r="BN63" i="18" l="1"/>
  <c r="BS59" i="18" s="1"/>
  <c r="BO63" i="18"/>
  <c r="BP64" i="18"/>
  <c r="BM64" i="18"/>
  <c r="BO64" i="18" l="1"/>
  <c r="BN64" i="18"/>
  <c r="BS60" i="18" s="1"/>
  <c r="BM65" i="18"/>
  <c r="BP65" i="18"/>
  <c r="BO65" i="18" l="1"/>
  <c r="BN65" i="18"/>
  <c r="BS61" i="18" s="1"/>
  <c r="BP66" i="18"/>
  <c r="BM66" i="18"/>
  <c r="BN66" i="18" l="1"/>
  <c r="BS62" i="18" s="1"/>
  <c r="BO66" i="18"/>
  <c r="BM67" i="18"/>
  <c r="BP67" i="18"/>
  <c r="BN67" i="18" l="1"/>
  <c r="BS63" i="18" s="1"/>
  <c r="BO67" i="18"/>
  <c r="BP68" i="18"/>
  <c r="BM68" i="18"/>
  <c r="BO68" i="18" l="1"/>
  <c r="BN68" i="18"/>
  <c r="BS64" i="18" s="1"/>
  <c r="BP69" i="18"/>
  <c r="BM69" i="18"/>
  <c r="BN69" i="18" l="1"/>
  <c r="BS65" i="18" s="1"/>
  <c r="BO69" i="18"/>
  <c r="BP70" i="18"/>
  <c r="BM70" i="18"/>
  <c r="BO70" i="18" l="1"/>
  <c r="BN70" i="18"/>
  <c r="BS66" i="18" s="1"/>
  <c r="BP71" i="18"/>
  <c r="BM71" i="18"/>
  <c r="BN71" i="18" l="1"/>
  <c r="BS67" i="18" s="1"/>
  <c r="BO71" i="18"/>
  <c r="BP72" i="18"/>
  <c r="BM72" i="18"/>
  <c r="BO72" i="18" l="1"/>
  <c r="BN72" i="18"/>
  <c r="BS68" i="18" s="1"/>
  <c r="BM73" i="18"/>
  <c r="BP73" i="18"/>
  <c r="BO73" i="18" l="1"/>
  <c r="BN73" i="18"/>
  <c r="BS69" i="18" s="1"/>
  <c r="BP74" i="18"/>
  <c r="BM74" i="18"/>
  <c r="BN74" i="18" l="1"/>
  <c r="BS70" i="18" s="1"/>
  <c r="BO74" i="18"/>
  <c r="BM75" i="18"/>
  <c r="BP75" i="18"/>
  <c r="BN75" i="18" l="1"/>
  <c r="BS71" i="18" s="1"/>
  <c r="BO75" i="18"/>
  <c r="BP76" i="18"/>
  <c r="BM76" i="18"/>
  <c r="BO76" i="18" l="1"/>
  <c r="BN76" i="18"/>
  <c r="BS72" i="18" s="1"/>
  <c r="BM77" i="18"/>
  <c r="BP77" i="18"/>
  <c r="BN77" i="18" l="1"/>
  <c r="BS73" i="18" s="1"/>
  <c r="BO77" i="18"/>
  <c r="BM78" i="18"/>
  <c r="BP78" i="18"/>
  <c r="BO78" i="18" l="1"/>
  <c r="BN78" i="18"/>
  <c r="BS74" i="18" s="1"/>
  <c r="BM79" i="18"/>
  <c r="BP79" i="18"/>
  <c r="BN79" i="18" l="1"/>
  <c r="BS75" i="18" s="1"/>
  <c r="BO79" i="18"/>
  <c r="BP80" i="18"/>
  <c r="BM80" i="18"/>
  <c r="BO80" i="18" l="1"/>
  <c r="BN80" i="18"/>
  <c r="BS76" i="18" s="1"/>
  <c r="BM81" i="18"/>
  <c r="BP81" i="18"/>
  <c r="BO81" i="18" l="1"/>
  <c r="BN81" i="18"/>
  <c r="BS77" i="18" s="1"/>
  <c r="BP82" i="18"/>
  <c r="BM82" i="18"/>
  <c r="BN82" i="18" l="1"/>
  <c r="BS78" i="18" s="1"/>
  <c r="BO82" i="18"/>
  <c r="BP83" i="18"/>
  <c r="BM83" i="18"/>
  <c r="BN83" i="18" l="1"/>
  <c r="BS79" i="18" s="1"/>
  <c r="BO83" i="18"/>
  <c r="BP84" i="18"/>
  <c r="BM84" i="18"/>
  <c r="BO84" i="18" l="1"/>
  <c r="BN84" i="18"/>
  <c r="BS80" i="18" s="1"/>
  <c r="BM85" i="18"/>
  <c r="BP85" i="18"/>
  <c r="BN85" i="18" l="1"/>
  <c r="BS81" i="18" s="1"/>
  <c r="BO85" i="18"/>
  <c r="BM86" i="18"/>
  <c r="BP86" i="18"/>
  <c r="BO86" i="18" l="1"/>
  <c r="BN86" i="18"/>
  <c r="BS82" i="18" s="1"/>
  <c r="BP87" i="18"/>
  <c r="BM87" i="18"/>
  <c r="BN87" i="18" l="1"/>
  <c r="BS83" i="18" s="1"/>
  <c r="BO87" i="18"/>
  <c r="BP88" i="18"/>
  <c r="BM88" i="18"/>
  <c r="BO88" i="18" l="1"/>
  <c r="BN88" i="18"/>
  <c r="BS84" i="18" s="1"/>
  <c r="BP89" i="18"/>
  <c r="BM89" i="18"/>
  <c r="BO89" i="18" l="1"/>
  <c r="BN89" i="18"/>
  <c r="BS85" i="18" s="1"/>
  <c r="BM90" i="18"/>
  <c r="BP90" i="18"/>
  <c r="BN90" i="18" l="1"/>
  <c r="BS86" i="18" s="1"/>
  <c r="BO90" i="18"/>
  <c r="BM91" i="18"/>
  <c r="BP91" i="18"/>
  <c r="BN91" i="18" l="1"/>
  <c r="BS87" i="18" s="1"/>
  <c r="BO91" i="18"/>
  <c r="BP92" i="18"/>
  <c r="BM92" i="18"/>
  <c r="BO92" i="18" l="1"/>
  <c r="BN92" i="18"/>
  <c r="BS88" i="18" s="1"/>
  <c r="BM93" i="18"/>
  <c r="BP93" i="18"/>
  <c r="BN93" i="18" l="1"/>
  <c r="BS89" i="18" s="1"/>
  <c r="BO93" i="18"/>
  <c r="BP94" i="18"/>
  <c r="BM94" i="18"/>
  <c r="BO94" i="18" l="1"/>
  <c r="BN94" i="18"/>
  <c r="BS90" i="18" s="1"/>
  <c r="BM95" i="18"/>
  <c r="BP95" i="18"/>
  <c r="BN95" i="18" l="1"/>
  <c r="BS91" i="18" s="1"/>
  <c r="BO95" i="18"/>
  <c r="BP96" i="18"/>
  <c r="BM96" i="18"/>
  <c r="BO96" i="18" l="1"/>
  <c r="BN96" i="18"/>
  <c r="BS92" i="18" s="1"/>
  <c r="BM97" i="18"/>
  <c r="BP97" i="18"/>
  <c r="BO97" i="18" l="1"/>
  <c r="BN97" i="18"/>
  <c r="BS93" i="18" s="1"/>
  <c r="BP98" i="18"/>
  <c r="BM98" i="18"/>
  <c r="BN98" i="18" l="1"/>
  <c r="BS94" i="18" s="1"/>
  <c r="BO98" i="18"/>
  <c r="BP99" i="18"/>
  <c r="BM99" i="18"/>
  <c r="BN99" i="18" l="1"/>
  <c r="BS95" i="18" s="1"/>
  <c r="BO99" i="18"/>
  <c r="BP100" i="18"/>
  <c r="BM100" i="18"/>
  <c r="BO100" i="18" l="1"/>
  <c r="BN100" i="18"/>
  <c r="BS96" i="18" s="1"/>
  <c r="BM101" i="18"/>
  <c r="BP101" i="18"/>
  <c r="BN101" i="18" l="1"/>
  <c r="BS97" i="18" s="1"/>
  <c r="BO101" i="18"/>
  <c r="BP102" i="18"/>
  <c r="BM102" i="18"/>
  <c r="BO102" i="18" l="1"/>
  <c r="BN102" i="18"/>
  <c r="BS98" i="18" s="1"/>
  <c r="BM103" i="18"/>
  <c r="BP103" i="18"/>
  <c r="BN103" i="18" l="1"/>
  <c r="BS99" i="18" s="1"/>
  <c r="BO103" i="18"/>
  <c r="BP104" i="18"/>
  <c r="BM104" i="18"/>
  <c r="BO104" i="18" l="1"/>
  <c r="BN104" i="18"/>
  <c r="BS100" i="18" s="1"/>
  <c r="BM105" i="18"/>
  <c r="BP105" i="18"/>
  <c r="BO105" i="18" l="1"/>
  <c r="BN105" i="18"/>
  <c r="BS101" i="18" s="1"/>
  <c r="BT74" i="18" s="1" a="1"/>
  <c r="BT74" i="18" s="1"/>
  <c r="C3" i="8" a="1"/>
  <c r="BT2" i="18" l="1" a="1"/>
  <c r="BT2" i="18" s="1"/>
  <c r="BT91" i="18" a="1"/>
  <c r="BT91" i="18" s="1"/>
  <c r="BT10" i="18" a="1"/>
  <c r="BT10" i="18" s="1"/>
  <c r="BT85" i="18" a="1"/>
  <c r="BT85" i="18" s="1"/>
  <c r="BT61" i="18" a="1"/>
  <c r="BT61" i="18" s="1"/>
  <c r="BT28" i="18" a="1"/>
  <c r="BT28" i="18" s="1"/>
  <c r="BT100" i="18" a="1"/>
  <c r="BT100" i="18" s="1"/>
  <c r="BT63" i="18" a="1"/>
  <c r="BT63" i="18" s="1"/>
  <c r="BT44" i="18" a="1"/>
  <c r="BT44" i="18" s="1"/>
  <c r="BT31" i="18" a="1"/>
  <c r="BT31" i="18" s="1"/>
  <c r="BT5" i="18" a="1"/>
  <c r="BT5" i="18" s="1"/>
  <c r="BT49" i="18" a="1"/>
  <c r="BT49" i="18" s="1"/>
  <c r="BT76" i="18" a="1"/>
  <c r="BT76" i="18" s="1"/>
  <c r="BT7" i="18" a="1"/>
  <c r="BT7" i="18" s="1"/>
  <c r="BT48" i="18" a="1"/>
  <c r="BT48" i="18" s="1"/>
  <c r="BT6" i="18" a="1"/>
  <c r="BT6" i="18" s="1"/>
  <c r="BT18" i="18" a="1"/>
  <c r="BT18" i="18" s="1"/>
  <c r="BT40" i="18" a="1"/>
  <c r="BT40" i="18" s="1"/>
  <c r="BT101" i="18" a="1"/>
  <c r="BT101" i="18" s="1"/>
  <c r="BT79" i="18" a="1"/>
  <c r="BT79" i="18" s="1"/>
  <c r="BT35" i="18" a="1"/>
  <c r="BT35" i="18" s="1"/>
  <c r="BT66" i="18" a="1"/>
  <c r="BT66" i="18" s="1"/>
  <c r="BT21" i="18" a="1"/>
  <c r="BT21" i="18" s="1"/>
  <c r="BT37" i="18" a="1"/>
  <c r="BT37" i="18" s="1"/>
  <c r="BT62" i="18" a="1"/>
  <c r="BT62" i="18" s="1"/>
  <c r="BT83" i="18" a="1"/>
  <c r="BT83" i="18" s="1"/>
  <c r="BT45" i="18" a="1"/>
  <c r="BT45" i="18" s="1"/>
  <c r="BT58" i="18" a="1"/>
  <c r="BT58" i="18" s="1"/>
  <c r="BT25" i="18" a="1"/>
  <c r="BT25" i="18" s="1"/>
  <c r="BT65" i="18" a="1"/>
  <c r="BT65" i="18" s="1"/>
  <c r="BT69" i="18" a="1"/>
  <c r="BT69" i="18" s="1"/>
  <c r="BT99" i="18" a="1"/>
  <c r="BT99" i="18" s="1"/>
  <c r="BT70" i="18" a="1"/>
  <c r="BT70" i="18" s="1"/>
  <c r="BT92" i="18" a="1"/>
  <c r="BT92" i="18" s="1"/>
  <c r="BT14" i="18" a="1"/>
  <c r="BT14" i="18" s="1"/>
  <c r="BT80" i="18" a="1"/>
  <c r="BT80" i="18" s="1"/>
  <c r="BT20" i="18" a="1"/>
  <c r="BT20" i="18" s="1"/>
  <c r="BT24" i="18" a="1"/>
  <c r="BT24" i="18" s="1"/>
  <c r="BT26" i="18" a="1"/>
  <c r="BT26" i="18" s="1"/>
  <c r="BT51" i="18" a="1"/>
  <c r="BT51" i="18" s="1"/>
  <c r="BT50" i="18" a="1"/>
  <c r="BT50" i="18" s="1"/>
  <c r="BT4" i="18" a="1"/>
  <c r="BT4" i="18" s="1"/>
  <c r="BT96" i="18" a="1"/>
  <c r="BT96" i="18" s="1"/>
  <c r="BT27" i="18" a="1"/>
  <c r="BT27" i="18" s="1"/>
  <c r="BT59" i="18" a="1"/>
  <c r="BT59" i="18" s="1"/>
  <c r="BT12" i="18" a="1"/>
  <c r="BT12" i="18" s="1"/>
  <c r="BT39" i="18" a="1"/>
  <c r="BT39" i="18" s="1"/>
  <c r="BT55" i="18" a="1"/>
  <c r="BT55" i="18" s="1"/>
  <c r="BT9" i="18" a="1"/>
  <c r="BT9" i="18" s="1"/>
  <c r="BT82" i="18" a="1"/>
  <c r="BT82" i="18" s="1"/>
  <c r="BT56" i="18" a="1"/>
  <c r="BT56" i="18" s="1"/>
  <c r="BT71" i="18" a="1"/>
  <c r="BT71" i="18" s="1"/>
  <c r="BT38" i="18" a="1"/>
  <c r="BT38" i="18" s="1"/>
  <c r="BT17" i="18" a="1"/>
  <c r="BT17" i="18" s="1"/>
  <c r="BT46" i="18" a="1"/>
  <c r="BT46" i="18" s="1"/>
  <c r="BT72" i="18" a="1"/>
  <c r="BT72" i="18" s="1"/>
  <c r="BT3" i="18" a="1"/>
  <c r="BT3" i="18" s="1"/>
  <c r="BT90" i="18" a="1"/>
  <c r="BT90" i="18" s="1"/>
  <c r="BT98" i="18" a="1"/>
  <c r="BT98" i="18" s="1"/>
  <c r="BT13" i="18" a="1"/>
  <c r="BT13" i="18" s="1"/>
  <c r="BT52" i="18" a="1"/>
  <c r="BT52" i="18" s="1"/>
  <c r="BT19" i="18" a="1"/>
  <c r="BT19" i="18" s="1"/>
  <c r="BT33" i="18" a="1"/>
  <c r="BT33" i="18" s="1"/>
  <c r="BT34" i="18" a="1"/>
  <c r="BT34" i="18" s="1"/>
  <c r="BT41" i="18" a="1"/>
  <c r="BT41" i="18" s="1"/>
  <c r="BT68" i="18" a="1"/>
  <c r="BT68" i="18" s="1"/>
  <c r="BT73" i="18" a="1"/>
  <c r="BT73" i="18" s="1"/>
  <c r="BT78" i="18" a="1"/>
  <c r="BT78" i="18" s="1"/>
  <c r="BT22" i="18" a="1"/>
  <c r="BT22" i="18" s="1"/>
  <c r="BT75" i="18" a="1"/>
  <c r="BT75" i="18" s="1"/>
  <c r="BT42" i="18" a="1"/>
  <c r="BT42" i="18" s="1"/>
  <c r="BT89" i="18" a="1"/>
  <c r="BT89" i="18" s="1"/>
  <c r="BT23" i="18" a="1"/>
  <c r="BT23" i="18" s="1"/>
  <c r="BT94" i="18" a="1"/>
  <c r="BT94" i="18" s="1"/>
  <c r="BT8" i="18" a="1"/>
  <c r="BT8" i="18" s="1"/>
  <c r="BT43" i="18" a="1"/>
  <c r="BT43" i="18" s="1"/>
  <c r="BT47" i="18" a="1"/>
  <c r="BT47" i="18" s="1"/>
  <c r="BT86" i="18" a="1"/>
  <c r="BT86" i="18" s="1"/>
  <c r="BT54" i="18" a="1"/>
  <c r="BT54" i="18" s="1"/>
  <c r="BT29" i="18" a="1"/>
  <c r="BT29" i="18" s="1"/>
  <c r="BT64" i="18" a="1"/>
  <c r="BT64" i="18" s="1"/>
  <c r="BT11" i="18" a="1"/>
  <c r="BT11" i="18" s="1"/>
  <c r="BT60" i="18" a="1"/>
  <c r="BT60" i="18" s="1"/>
  <c r="BT36" i="18" a="1"/>
  <c r="BT36" i="18" s="1"/>
  <c r="BT81" i="18" a="1"/>
  <c r="BT81" i="18" s="1"/>
  <c r="BT57" i="18" a="1"/>
  <c r="BT57" i="18" s="1"/>
  <c r="BT87" i="18" a="1"/>
  <c r="BT87" i="18" s="1"/>
  <c r="BT84" i="18" a="1"/>
  <c r="BT84" i="18" s="1"/>
  <c r="BT16" i="18" a="1"/>
  <c r="BT16" i="18" s="1"/>
  <c r="BT32" i="18" a="1"/>
  <c r="BT32" i="18" s="1"/>
  <c r="BT95" i="18" a="1"/>
  <c r="BT95" i="18" s="1"/>
  <c r="BT88" i="18" a="1"/>
  <c r="BT88" i="18" s="1"/>
  <c r="BT97" i="18" a="1"/>
  <c r="BT97" i="18" s="1"/>
  <c r="BT93" i="18" a="1"/>
  <c r="BT93" i="18" s="1"/>
  <c r="BT15" i="18" a="1"/>
  <c r="BT15" i="18" s="1"/>
  <c r="BT67" i="18" a="1"/>
  <c r="BT67" i="18" s="1"/>
  <c r="BT53" i="18" a="1"/>
  <c r="BT53" i="18" s="1"/>
  <c r="BT30" i="18" a="1"/>
  <c r="BT30" i="18" s="1"/>
  <c r="BT77" i="18" a="1"/>
  <c r="BT77" i="18" s="1"/>
  <c r="C3" i="8"/>
  <c r="E9" i="8" s="1"/>
  <c r="C8" i="8" l="1"/>
  <c r="E19" i="8"/>
  <c r="M9" i="8"/>
  <c r="E11" i="8"/>
  <c r="E13" i="8"/>
  <c r="Q9" i="8"/>
  <c r="H13" i="8"/>
  <c r="O8" i="8"/>
  <c r="C23" i="8"/>
  <c r="M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Killer Queen</author>
  </authors>
  <commentList>
    <comment ref="H8" authorId="0" shapeId="0" xr:uid="{9E15032E-721B-4F63-AAC7-EF66FC7CDD8A}">
      <text>
        <r>
          <rPr>
            <sz val="9"/>
            <color indexed="81"/>
            <rFont val="宋体"/>
            <family val="3"/>
            <charset val="134"/>
          </rPr>
          <t>1英寸为2.54厘米
1英尺为30.48厘米</t>
        </r>
      </text>
    </comment>
    <comment ref="H9" authorId="0" shapeId="0" xr:uid="{DA37D5CD-BA62-4B01-B74D-B6C7631A5E68}">
      <text>
        <r>
          <rPr>
            <sz val="9"/>
            <color indexed="81"/>
            <rFont val="宋体"/>
            <family val="3"/>
            <charset val="134"/>
          </rPr>
          <t>1磅约为0.453公斤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Killer Queen</author>
    <author>Administrator</author>
  </authors>
  <commentList>
    <comment ref="R7" authorId="0" shapeId="0" xr:uid="{00000000-0006-0000-0100-000001000000}">
      <text>
        <r>
          <rPr>
            <sz val="9"/>
            <rFont val="微软雅黑"/>
            <family val="2"/>
            <charset val="134"/>
          </rPr>
          <t>在该栏中，你或许会看到：
“半血裔”“巫咒之子”“重生者”
这三项属于族系：如果你在选择种族后选择了一个族系，则你过去可能曾经是某一种族，但如今已不再是他们的一员。你现在只有来自族系的种族特质。（来自范·里希腾的鸦阁指南）
请在使用前咨询你的DM</t>
        </r>
      </text>
    </comment>
    <comment ref="C13" authorId="0" shapeId="0" xr:uid="{00000000-0006-0000-0100-000002000000}">
      <text>
        <r>
          <rPr>
            <sz val="9"/>
            <rFont val="微软雅黑"/>
            <family val="2"/>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C14" authorId="0" shapeId="0" xr:uid="{00000000-0006-0000-0100-000003000000}">
      <text>
        <r>
          <rPr>
            <sz val="9"/>
            <rFont val="微软雅黑"/>
            <family val="2"/>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C15" authorId="0" shapeId="0" xr:uid="{00000000-0006-0000-0100-000004000000}">
      <text>
        <r>
          <rPr>
            <sz val="9"/>
            <rFont val="微软雅黑"/>
            <family val="2"/>
            <charset val="134"/>
          </rPr>
          <t>体质代表健康、耐力、生命力。
当你进行以下行动时，可能会要求你进行体质检定：
闭气。
持续数小时不间断的行军或作苦力活。
通宵活动。
不吃不喝。
一口喝掉一大杯麦酒。</t>
        </r>
      </text>
    </comment>
    <comment ref="C16" authorId="0" shapeId="0" xr:uid="{00000000-0006-0000-0100-000005000000}">
      <text>
        <r>
          <rPr>
            <sz val="9"/>
            <rFont val="微软雅黑"/>
            <family val="2"/>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C17" authorId="0" shapeId="0" xr:uid="{00000000-0006-0000-0100-000006000000}">
      <text>
        <r>
          <rPr>
            <sz val="9"/>
            <rFont val="微软雅黑"/>
            <family val="2"/>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C18" authorId="0" shapeId="0" xr:uid="{00000000-0006-0000-0100-000007000000}">
      <text>
        <r>
          <rPr>
            <sz val="9"/>
            <rFont val="微软雅黑"/>
            <family val="2"/>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 ref="B41" authorId="1" shapeId="0" xr:uid="{0BA0D196-7070-4163-BE69-6C8ECACB2E49}">
      <text>
        <r>
          <rPr>
            <sz val="9"/>
            <color indexed="81"/>
            <rFont val="微软雅黑"/>
            <family val="2"/>
            <charset val="134"/>
          </rPr>
          <t>X=无熟练
O=有熟练
🅞=双倍熟练
〄=一半熟练</t>
        </r>
      </text>
    </comment>
    <comment ref="C41" authorId="0" shapeId="0" xr:uid="{00000000-0006-0000-0100-00000E000000}">
      <text>
        <r>
          <rPr>
            <sz val="9"/>
            <rFont val="微软雅黑"/>
            <family val="2"/>
            <charset val="134"/>
          </rPr>
          <t>涵盖了进行攀爬、跳跃、游泳时遇上的困难情况。其范例如下：
你尝试攀爬陡坡或滑坡或者在攀爬的同时回避危害物，又或者在有东西想撞开你的情况下抓紧壁面。
你尝试跳跃非常远的距离或在跳跃中施展花式。
你尝试在凶险的水流，风暴浪涛或水草海域中挣扎游泳或浮出水面。或者其他生物试图将你推下水，或拉入水中，又或者以其他方式阻碍你游泳。</t>
        </r>
      </text>
    </comment>
    <comment ref="C43" authorId="0" shapeId="0" xr:uid="{00000000-0006-0000-0100-00000F000000}">
      <text>
        <r>
          <rPr>
            <sz val="9"/>
            <rFont val="微软雅黑"/>
            <family val="2"/>
            <charset val="134"/>
          </rPr>
          <t>敏捷（体操）检定涵盖了在冰块上奔跑，在绳索上平衡，在摇曳甲板上站稳等需要保持平衡的情况。
也可用敏捷（体操）检定来判定你能否完成体操特技，如前翻、侧翻、空翻、后翻等。</t>
        </r>
      </text>
    </comment>
    <comment ref="C44" authorId="0" shapeId="0" xr:uid="{00000000-0006-0000-0100-000010000000}">
      <text>
        <r>
          <rPr>
            <sz val="9"/>
            <rFont val="微软雅黑"/>
            <family val="2"/>
            <charset val="134"/>
          </rPr>
          <t>当你尝试施行障眼法或巧手时（如把一些东西放在他人身上，或者将一件东西藏在自已身上），进行一次敏捷（巧手）检定。
也可用敏捷（巧手）检定以判定你是否能从其他人的钱包或口袋中摸鱼。</t>
        </r>
      </text>
    </comment>
    <comment ref="C45" authorId="0" shapeId="0" xr:uid="{00000000-0006-0000-0100-000011000000}">
      <text>
        <r>
          <rPr>
            <sz val="9"/>
            <rFont val="微软雅黑"/>
            <family val="2"/>
            <charset val="134"/>
          </rPr>
          <t>你尝试躲起避过敌人，躲过守卫，偷偷溜走，无声息地绕到某人背后时，进行一次敏捷（隐匿）检定。</t>
        </r>
      </text>
    </comment>
    <comment ref="I45" authorId="0" shapeId="0" xr:uid="{00000000-0006-0000-0100-000012000000}">
      <text>
        <r>
          <rPr>
            <sz val="9"/>
            <rFont val="微软雅黑"/>
            <family val="2"/>
            <charset val="134"/>
          </rPr>
          <t xml:space="preserve">躲藏
    DM可以决定情况是否允许进行躲藏。
当你尝试躲藏时，可以进行一个敏捷（隐匿）检定。
此后，直到你被发现或主动停止躲藏为止，该检定的总值将作为一个固定的对抗值存在。
而任何主动以感知（察觉）检定搜索你的生物，都将用其检定值与你该固定值作对抗，以判定是否发现你的存在。
    你不能针对一个可以清楚看见你的生物进行躲藏，而你一旦发出声响（如大声发出警告，或踢破一个罐子）也会立即暴露你的位置。
隐形中的生物可以随时尝试躲藏。
尽管其踪迹依然可能会被注意到，但只要保持安静就不会轻易暴露自己的位置。
    大多数生物在战斗中会对周围的危险保持警觉，因此如果你在躲藏中接近某生物，通常会被立即发现。
尽管如此，某种情况下DM也可能会允许你针对被分心的生物保持隐藏，并在被发现前让你进行一个具有优势的攻击检定。
被动察觉
    你在躲藏时，某些生物就算不主动搜索依然可以注意到你。
DM可以用你的敏捷（隐匿）检定与其他生物的被动感知（察觉）值作对抗，同时加上其他加值或减值。
生物具有优势时，其分值加5，劣势则减5。
</t>
        </r>
      </text>
    </comment>
    <comment ref="C47" authorId="0" shapeId="0" xr:uid="{00000000-0006-0000-0100-000013000000}">
      <text>
        <r>
          <rPr>
            <sz val="9"/>
            <rFont val="微软雅黑"/>
            <family val="2"/>
            <charset val="134"/>
          </rPr>
          <t>当你到处嗅探线索并以此进行推理时，进行一次智力（调查）检定。
你可能要推断隐藏物件的位置，或从伤口的外观判断它由什么武器造成，又或者找出一条隧道的结构性弱点。
在一堆古书卷中寻找一段隐藏的知识也可能需要进行一次智力（调查）检定。</t>
        </r>
      </text>
    </comment>
    <comment ref="C48" authorId="0" shapeId="0" xr:uid="{00000000-0006-0000-0100-000014000000}">
      <text>
        <r>
          <rPr>
            <sz val="9"/>
            <rFont val="微软雅黑"/>
            <family val="2"/>
            <charset val="134"/>
          </rPr>
          <t>你的智力（奥秘）检定量化你忆起关于法术、魔法物品、奥秘符文、魔法派系、位面、位面住民等相关知识的能力。</t>
        </r>
      </text>
    </comment>
    <comment ref="C49" authorId="0" shapeId="0" xr:uid="{00000000-0006-0000-0100-000015000000}">
      <text>
        <r>
          <rPr>
            <sz val="9"/>
            <rFont val="微软雅黑"/>
            <family val="2"/>
            <charset val="134"/>
          </rPr>
          <t>你的智力（历史）检定量化你忆起关于历史事件、传奇人物、古王国、昔日纠纷、近代战争、失落文明等相关知识的能力。</t>
        </r>
      </text>
    </comment>
    <comment ref="C50" authorId="0" shapeId="0" xr:uid="{00000000-0006-0000-0100-000016000000}">
      <text>
        <r>
          <rPr>
            <sz val="9"/>
            <rFont val="微软雅黑"/>
            <family val="2"/>
            <charset val="134"/>
          </rPr>
          <t>你的智力（自然）检定量化你忆起关于地势、动植物、气候、自然周期相关知识的能力。</t>
        </r>
      </text>
    </comment>
    <comment ref="C51" authorId="0" shapeId="0" xr:uid="{00000000-0006-0000-0100-000017000000}">
      <text>
        <r>
          <rPr>
            <sz val="9"/>
            <rFont val="微软雅黑"/>
            <family val="2"/>
            <charset val="134"/>
          </rPr>
          <t>你的智力（宗教）检定量化你回忆神祇、仪式和祷告、宗教阶级、圣徽、秘密组织风俗等知识的能力。</t>
        </r>
      </text>
    </comment>
    <comment ref="C53" authorId="0" shapeId="0" xr:uid="{00000000-0006-0000-0100-000018000000}">
      <text>
        <r>
          <rPr>
            <sz val="9"/>
            <rFont val="微软雅黑"/>
            <family val="2"/>
            <charset val="134"/>
          </rPr>
          <t>使用感知（察觉）检定让你可以看到，听到或以其他方式察觉到某些东西的存在。
它代表你对周围环境的警觉性，以及你感官的敏锐度。
例如，偷听门后的对话，或者在窗外窃听，又或者听到在林中静静移动的生物。
你也可以尝试看清被遮蔽或容易看走眼的东西，如在前方埋伏的兽人，躲在暗巷的痞子，或是从密门的门缝间漏出的烛光。</t>
        </r>
      </text>
    </comment>
    <comment ref="I53" authorId="0" shapeId="0" xr:uid="{00000000-0006-0000-0100-000019000000}">
      <text>
        <r>
          <rPr>
            <sz val="9"/>
            <rFont val="微软雅黑"/>
            <family val="2"/>
            <charset val="134"/>
          </rPr>
          <t>寻找隐藏物件
    当你的角色搜索密门或者陷阱等隐藏物件时，一般会要求你进行一次感知（察觉）检定。
该检定用于寻找一些平时被忽视的蛛丝马迹，以从中获得更多的细节信息。</t>
        </r>
      </text>
    </comment>
    <comment ref="C54" authorId="0" shapeId="0" xr:uid="{00000000-0006-0000-0100-00001A000000}">
      <text>
        <r>
          <rPr>
            <sz val="9"/>
            <rFont val="微软雅黑"/>
            <family val="2"/>
            <charset val="134"/>
          </rPr>
          <t>感知（洞悉）检定决定你是否能辨别另一人的真实意图，例如辨别谎言或预测其下一步行动。
你需要理解对方的肢体语言、言谈举止、态度转变等，再察觉其中的含义。</t>
        </r>
      </text>
    </comment>
    <comment ref="C55" authorId="0" shapeId="0" xr:uid="{00000000-0006-0000-0100-00001B000000}">
      <text>
        <r>
          <rPr>
            <sz val="9"/>
            <rFont val="微软雅黑"/>
            <family val="2"/>
            <charset val="134"/>
          </rPr>
          <t>当不确定你是否能驯服一只牲畜，安抚坐骑使其免受惊吓，或者推断出动物的意向时，进行一次感知（驯兽）检定。
骑乘时，如果你尝试作出一些危险动作，也会需要进行一次感知（驯兽）检定去控制你的坐骑。</t>
        </r>
      </text>
    </comment>
    <comment ref="C56" authorId="0" shapeId="0" xr:uid="{00000000-0006-0000-0100-00001C000000}">
      <text>
        <r>
          <rPr>
            <sz val="9"/>
            <rFont val="微软雅黑"/>
            <family val="2"/>
            <charset val="134"/>
          </rPr>
          <t>感知（医药）检定让你可以尝试稳定濒死战友的伤势或者诊断病症。</t>
        </r>
      </text>
    </comment>
    <comment ref="C57" authorId="0" shapeId="0" xr:uid="{00000000-0006-0000-0100-00001D000000}">
      <text>
        <r>
          <rPr>
            <sz val="9"/>
            <rFont val="微软雅黑"/>
            <family val="2"/>
            <charset val="134"/>
          </rPr>
          <t>当你需要追踪，狩猎，引导队伍穿过冰原，辨认附近枭熊踪迹，预测天气，回避流沙或其他自然危害物时，可能会要求你进行一次感知（生存）检定。</t>
        </r>
      </text>
    </comment>
    <comment ref="C59" authorId="0" shapeId="0" xr:uid="{00000000-0006-0000-0100-00001F000000}">
      <text>
        <r>
          <rPr>
            <sz val="9"/>
            <rFont val="微软雅黑"/>
            <family val="2"/>
            <charset val="134"/>
          </rPr>
          <t>当你尝试圆滑、优雅、善意地游说某人或某些人时，可能会要求你进行一次魅力（说服）检定。
通常你会用游说去表示信任，促进友谊，诚恳地请求，或展示恰当的礼仪。
例子包括说服官务大臣让你跟国王会面，商谈多族间的和平契约，或激励一帮村民。</t>
        </r>
      </text>
    </comment>
    <comment ref="C60" authorId="0" shapeId="0" xr:uid="{00000000-0006-0000-0100-000021000000}">
      <text>
        <r>
          <rPr>
            <sz val="9"/>
            <rFont val="微软雅黑"/>
            <family val="2"/>
            <charset val="134"/>
          </rPr>
          <t>魅力（欺诈）检定决定你能否可信地以言语或动作隐暪真相。
由模棱两可地误导人到弥天大谎都包括在内。
常见情况包括暪过守卫、骗过商人、从赌局赚钱、以易容暪天过海、安抚他人的怀疑、带着朴克脸撒大谎等。</t>
        </r>
      </text>
    </comment>
    <comment ref="C61" authorId="0" shapeId="0" xr:uid="{00000000-0006-0000-0100-000023000000}">
      <text>
        <r>
          <rPr>
            <sz val="9"/>
            <rFont val="微软雅黑"/>
            <family val="2"/>
            <charset val="134"/>
          </rPr>
          <t>当你尝试用威胁、敌对行为、暴力等使他人改变心意时，进行一次魅力（威吓）检定。
例子包括迫供、吓退痞子、用破瓶的利口“说服”高官三思等。</t>
        </r>
      </text>
    </comment>
    <comment ref="V61" authorId="2" shapeId="0" xr:uid="{5D95B41C-FB10-4A44-B657-41D7D5CF3CA7}">
      <text>
        <r>
          <rPr>
            <sz val="9"/>
            <rFont val="微软雅黑"/>
            <family val="2"/>
            <charset val="134"/>
          </rPr>
          <t>未使用负重变体时，选择最大载重以确认载重上限。
使用负重变体时，选择负重状态以确认载重状态。</t>
        </r>
      </text>
    </comment>
    <comment ref="C62" authorId="0" shapeId="0" xr:uid="{00000000-0006-0000-0100-000025000000}">
      <text>
        <r>
          <rPr>
            <sz val="9"/>
            <rFont val="微软雅黑"/>
            <family val="2"/>
            <charset val="134"/>
          </rPr>
          <t>你的魅力（表演）检定决定你能多好地用音乐，舞蹈，扮演，卖艺，说书，或其他方式娱乐观众。</t>
        </r>
      </text>
    </comment>
    <comment ref="P64" authorId="1" shapeId="0" xr:uid="{8B6987E6-0D79-4F58-B5BE-5C2121516945}">
      <text>
        <r>
          <rPr>
            <sz val="9"/>
            <color indexed="81"/>
            <rFont val="微软雅黑"/>
            <family val="2"/>
            <charset val="134"/>
          </rPr>
          <t>因种族特性，专长，职业特性而无需消耗环位释放的法术，可以在此处记录（如因精类触碰而获得的迷踪步）</t>
        </r>
      </text>
    </comment>
    <comment ref="B83" authorId="1" shapeId="0" xr:uid="{96076886-AC22-4734-B281-B643720D58AC}">
      <text>
        <r>
          <rPr>
            <sz val="9"/>
            <rFont val="宋体"/>
            <family val="3"/>
            <charset val="134"/>
          </rPr>
          <t>此处下拉栏选择的法术为已录入法术书中的法术</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<sst xmlns="http://schemas.openxmlformats.org/spreadsheetml/2006/main" count="14881" uniqueCount="6661">
  <si>
    <t>人物背景 Background</t>
  </si>
  <si>
    <t>角色名</t>
  </si>
  <si>
    <t>个性</t>
  </si>
  <si>
    <t>玩家</t>
  </si>
  <si>
    <t>故乡</t>
  </si>
  <si>
    <t>理念</t>
  </si>
  <si>
    <t>羁绊</t>
  </si>
  <si>
    <t>缺陷</t>
  </si>
  <si>
    <t>背景特性</t>
  </si>
  <si>
    <t>人物形象</t>
  </si>
  <si>
    <t>Lv</t>
  </si>
  <si>
    <t>1级</t>
  </si>
  <si>
    <t>2级</t>
  </si>
  <si>
    <t>3级</t>
  </si>
  <si>
    <t>4级</t>
  </si>
  <si>
    <t>5级</t>
  </si>
  <si>
    <t>6级</t>
  </si>
  <si>
    <t>7级</t>
  </si>
  <si>
    <t>8级</t>
  </si>
  <si>
    <t>9级</t>
  </si>
  <si>
    <t>10级</t>
  </si>
  <si>
    <t>经验值</t>
  </si>
  <si>
    <t>生命值小工具</t>
  </si>
  <si>
    <t>种族</t>
  </si>
  <si>
    <t>11级</t>
  </si>
  <si>
    <t>12级</t>
  </si>
  <si>
    <t>13级</t>
  </si>
  <si>
    <t>14级</t>
  </si>
  <si>
    <t>15级</t>
  </si>
  <si>
    <t>16级</t>
  </si>
  <si>
    <t>17级</t>
  </si>
  <si>
    <t>18级</t>
  </si>
  <si>
    <t>19级</t>
  </si>
  <si>
    <t>20级</t>
  </si>
  <si>
    <t>亚种</t>
  </si>
  <si>
    <t>阵营</t>
  </si>
  <si>
    <t>熟练</t>
  </si>
  <si>
    <t>生命总值</t>
  </si>
  <si>
    <t>仅需填入每级生命骰结果
自动结算等级与体质调整值</t>
  </si>
  <si>
    <t>信仰</t>
  </si>
  <si>
    <t>&lt;</t>
  </si>
  <si>
    <t>属性</t>
  </si>
  <si>
    <t>总值</t>
  </si>
  <si>
    <t>初始值</t>
  </si>
  <si>
    <t>成长</t>
  </si>
  <si>
    <t>修正</t>
  </si>
  <si>
    <t>调整值</t>
  </si>
  <si>
    <t>豁免</t>
  </si>
  <si>
    <t>力量</t>
  </si>
  <si>
    <t>&gt;</t>
  </si>
  <si>
    <t>敏捷</t>
  </si>
  <si>
    <t>体质</t>
  </si>
  <si>
    <t>智力</t>
  </si>
  <si>
    <t>感知</t>
  </si>
  <si>
    <t>魅力</t>
  </si>
  <si>
    <t>战斗</t>
  </si>
  <si>
    <t>Now</t>
  </si>
  <si>
    <t>Max</t>
  </si>
  <si>
    <t>先攻</t>
  </si>
  <si>
    <t>HP</t>
  </si>
  <si>
    <t>/</t>
  </si>
  <si>
    <t>AC</t>
  </si>
  <si>
    <t>HD</t>
  </si>
  <si>
    <t>画像</t>
  </si>
  <si>
    <t>DC</t>
  </si>
  <si>
    <t>抗性</t>
  </si>
  <si>
    <t>免疫</t>
  </si>
  <si>
    <t>体型</t>
  </si>
  <si>
    <t>速度</t>
  </si>
  <si>
    <t>优势</t>
  </si>
  <si>
    <t>特殊能力</t>
  </si>
  <si>
    <t>劣势</t>
  </si>
  <si>
    <t>技能</t>
  </si>
  <si>
    <t>装备</t>
  </si>
  <si>
    <t>护甲</t>
  </si>
  <si>
    <t>同调</t>
  </si>
  <si>
    <t>名称</t>
  </si>
  <si>
    <t>特性</t>
  </si>
  <si>
    <t>重量</t>
  </si>
  <si>
    <t>盾牌</t>
  </si>
  <si>
    <t>运动</t>
  </si>
  <si>
    <t>-</t>
  </si>
  <si>
    <t>+</t>
  </si>
  <si>
    <t>武器</t>
  </si>
  <si>
    <t>武器名称</t>
  </si>
  <si>
    <t>攻击骰</t>
  </si>
  <si>
    <t>伤害骰</t>
  </si>
  <si>
    <t>特技</t>
  </si>
  <si>
    <t>箭</t>
  </si>
  <si>
    <t>巧手</t>
  </si>
  <si>
    <t>矢</t>
  </si>
  <si>
    <t>隐匿</t>
  </si>
  <si>
    <t>弹</t>
  </si>
  <si>
    <t>投</t>
  </si>
  <si>
    <t>调查</t>
  </si>
  <si>
    <t>它</t>
  </si>
  <si>
    <t>奥秘</t>
  </si>
  <si>
    <t>历史</t>
  </si>
  <si>
    <t>法术</t>
  </si>
  <si>
    <t>自然</t>
  </si>
  <si>
    <t>宗教</t>
  </si>
  <si>
    <t>察觉</t>
  </si>
  <si>
    <t>关键属性</t>
  </si>
  <si>
    <t>法术DC</t>
  </si>
  <si>
    <t>法术位</t>
  </si>
  <si>
    <t>洞悉</t>
  </si>
  <si>
    <t>驯养</t>
  </si>
  <si>
    <t>生存</t>
  </si>
  <si>
    <t>———随身钱币———</t>
  </si>
  <si>
    <t>——负重&amp;财产——</t>
  </si>
  <si>
    <t>PP</t>
  </si>
  <si>
    <t>背包1</t>
  </si>
  <si>
    <t>背包2</t>
  </si>
  <si>
    <t>总负重</t>
  </si>
  <si>
    <t>钱包</t>
  </si>
  <si>
    <t>EP</t>
  </si>
  <si>
    <t>GP</t>
  </si>
  <si>
    <t>威吓</t>
  </si>
  <si>
    <t>轻载</t>
  </si>
  <si>
    <t>重载</t>
  </si>
  <si>
    <t>次元袋</t>
  </si>
  <si>
    <t>SP</t>
  </si>
  <si>
    <t>表演</t>
  </si>
  <si>
    <t>CP</t>
  </si>
  <si>
    <t>等级</t>
  </si>
  <si>
    <t>法术名称</t>
  </si>
  <si>
    <t>法术名</t>
  </si>
  <si>
    <t>施法距离</t>
  </si>
  <si>
    <t>持续时间</t>
  </si>
  <si>
    <t>语言</t>
  </si>
  <si>
    <t>职业能力</t>
  </si>
  <si>
    <t>种族特性</t>
  </si>
  <si>
    <t>描述</t>
  </si>
  <si>
    <t>专长</t>
  </si>
  <si>
    <t>笔记</t>
  </si>
  <si>
    <t>戏法</t>
  </si>
  <si>
    <t>出处</t>
  </si>
  <si>
    <t>1环</t>
  </si>
  <si>
    <t>PHB</t>
  </si>
  <si>
    <t>人类</t>
  </si>
  <si>
    <t>人类变体</t>
  </si>
  <si>
    <t>2环</t>
  </si>
  <si>
    <t>3环</t>
  </si>
  <si>
    <t>精灵</t>
  </si>
  <si>
    <t>高等精灵</t>
  </si>
  <si>
    <t>木精灵</t>
  </si>
  <si>
    <t>海精灵</t>
  </si>
  <si>
    <t>影灵</t>
  </si>
  <si>
    <t>雅灵</t>
  </si>
  <si>
    <t>V
言语</t>
  </si>
  <si>
    <t>4环</t>
  </si>
  <si>
    <t>半身人</t>
  </si>
  <si>
    <t>轻足半身人</t>
  </si>
  <si>
    <t>鬼智半身人</t>
  </si>
  <si>
    <t>S
姿势</t>
  </si>
  <si>
    <t>5环</t>
  </si>
  <si>
    <t>矮人</t>
  </si>
  <si>
    <t>丘陵矮人</t>
  </si>
  <si>
    <t>山地矮人</t>
  </si>
  <si>
    <t>灰矮人</t>
  </si>
  <si>
    <t>黑暗视觉</t>
  </si>
  <si>
    <t>M
材料</t>
  </si>
  <si>
    <t>6环</t>
  </si>
  <si>
    <t>龙裔</t>
  </si>
  <si>
    <t>7环</t>
  </si>
  <si>
    <t>侏儒</t>
  </si>
  <si>
    <t>地底侏儒</t>
  </si>
  <si>
    <t>森林侏儒</t>
  </si>
  <si>
    <t>岩侏儒</t>
  </si>
  <si>
    <t>野蛮人</t>
  </si>
  <si>
    <t>8环</t>
  </si>
  <si>
    <t>伤害</t>
  </si>
  <si>
    <t>价格</t>
  </si>
  <si>
    <t>使用属性</t>
  </si>
  <si>
    <t>半精灵</t>
  </si>
  <si>
    <t>吟游诗人</t>
  </si>
  <si>
    <t>9环</t>
  </si>
  <si>
    <t>全头</t>
  </si>
  <si>
    <t>轻型</t>
  </si>
  <si>
    <t>半兽人</t>
  </si>
  <si>
    <t>战士</t>
  </si>
  <si>
    <t>头部</t>
  </si>
  <si>
    <t>中型</t>
  </si>
  <si>
    <t>简单近战武器</t>
  </si>
  <si>
    <t>短棒</t>
  </si>
  <si>
    <t>2lb</t>
  </si>
  <si>
    <t>1sp</t>
  </si>
  <si>
    <t>提夫林</t>
  </si>
  <si>
    <t>提夫林变体</t>
  </si>
  <si>
    <t>巴尔泽布</t>
  </si>
  <si>
    <t>迪斯帕特</t>
  </si>
  <si>
    <t>菲尔娜</t>
  </si>
  <si>
    <t>格莱西雅</t>
  </si>
  <si>
    <t>莱维斯图斯</t>
  </si>
  <si>
    <t>马曼</t>
  </si>
  <si>
    <t>墨菲斯托菲利斯</t>
  </si>
  <si>
    <t>扎瑞尔</t>
  </si>
  <si>
    <t>牧师</t>
  </si>
  <si>
    <t>头发</t>
  </si>
  <si>
    <t>重型</t>
  </si>
  <si>
    <t>匕首</t>
  </si>
  <si>
    <t>1lb</t>
  </si>
  <si>
    <t>2gp</t>
  </si>
  <si>
    <t>圣武士</t>
  </si>
  <si>
    <t>面部</t>
  </si>
  <si>
    <t>巨棒</t>
  </si>
  <si>
    <t>双手</t>
  </si>
  <si>
    <t>10lb</t>
  </si>
  <si>
    <t>2sp</t>
  </si>
  <si>
    <t>德鲁伊</t>
  </si>
  <si>
    <t>颈部</t>
  </si>
  <si>
    <t>穿刺</t>
  </si>
  <si>
    <t>手斧</t>
  </si>
  <si>
    <t>轻型，投掷（射程20/60）</t>
  </si>
  <si>
    <t>5gp</t>
  </si>
  <si>
    <t>武僧</t>
  </si>
  <si>
    <t>身体</t>
  </si>
  <si>
    <t>挥砍</t>
  </si>
  <si>
    <t>标枪</t>
  </si>
  <si>
    <t>投掷（射程30/120）</t>
  </si>
  <si>
    <t>5sp</t>
  </si>
  <si>
    <t>术士</t>
  </si>
  <si>
    <t>肩膀</t>
  </si>
  <si>
    <t>钝击</t>
  </si>
  <si>
    <t>轻锤</t>
  </si>
  <si>
    <t>游荡者</t>
  </si>
  <si>
    <t>胸前</t>
  </si>
  <si>
    <t>冷冻</t>
  </si>
  <si>
    <t>硬头锤</t>
  </si>
  <si>
    <t>4lb</t>
  </si>
  <si>
    <t>法师</t>
  </si>
  <si>
    <t>背后</t>
  </si>
  <si>
    <t>火焰</t>
  </si>
  <si>
    <t>长棍</t>
  </si>
  <si>
    <t>两用（1d8）</t>
  </si>
  <si>
    <t>游侠</t>
  </si>
  <si>
    <t>微型</t>
  </si>
  <si>
    <t>腰部</t>
  </si>
  <si>
    <t>闪电</t>
  </si>
  <si>
    <t>镰刀</t>
  </si>
  <si>
    <t>1gp</t>
  </si>
  <si>
    <t>小型</t>
  </si>
  <si>
    <t>胯间</t>
  </si>
  <si>
    <t>力场</t>
  </si>
  <si>
    <t>矛</t>
  </si>
  <si>
    <t>投掷（射程20/60），两用（1d8）</t>
  </si>
  <si>
    <t>3lb</t>
  </si>
  <si>
    <t>左脚</t>
  </si>
  <si>
    <t>光耀</t>
  </si>
  <si>
    <t>简单远程武器</t>
  </si>
  <si>
    <t>轻弩</t>
  </si>
  <si>
    <t>弹药（射程80/320），装填，双手</t>
  </si>
  <si>
    <t>5lb</t>
  </si>
  <si>
    <t>25gp</t>
  </si>
  <si>
    <t>大型</t>
  </si>
  <si>
    <t>右脚</t>
  </si>
  <si>
    <t>√</t>
  </si>
  <si>
    <t>飞镖</t>
  </si>
  <si>
    <t>灵巧，投掷（射程20/60）</t>
  </si>
  <si>
    <t>1/4lb</t>
  </si>
  <si>
    <t>5cp</t>
  </si>
  <si>
    <t>幸运</t>
  </si>
  <si>
    <t>Exp</t>
  </si>
  <si>
    <t>巨型</t>
  </si>
  <si>
    <t>双脚</t>
  </si>
  <si>
    <t>毒素</t>
  </si>
  <si>
    <t>短弓</t>
  </si>
  <si>
    <t>弹药（射程80/320），双手</t>
  </si>
  <si>
    <t>超巨型</t>
  </si>
  <si>
    <t>左腿</t>
  </si>
  <si>
    <t>投石索</t>
  </si>
  <si>
    <t>弹药（射程30/120）</t>
  </si>
  <si>
    <t>右腿</t>
  </si>
  <si>
    <t>雷呜</t>
  </si>
  <si>
    <t>军用近战武器</t>
  </si>
  <si>
    <t>战斧</t>
  </si>
  <si>
    <t>两用（1d10）</t>
  </si>
  <si>
    <t>10gp</t>
  </si>
  <si>
    <t>装备同调数量</t>
  </si>
  <si>
    <t>双腿</t>
  </si>
  <si>
    <t>强酸</t>
  </si>
  <si>
    <t>链枷</t>
  </si>
  <si>
    <t>左手</t>
  </si>
  <si>
    <t>长柄刀</t>
  </si>
  <si>
    <t>重型，触及，双手</t>
  </si>
  <si>
    <t>6lb</t>
  </si>
  <si>
    <t>20gp</t>
  </si>
  <si>
    <t>右手</t>
  </si>
  <si>
    <t>巨斧</t>
  </si>
  <si>
    <t>重型，双手</t>
  </si>
  <si>
    <t>7lb</t>
  </si>
  <si>
    <t>30gp</t>
  </si>
  <si>
    <t>巨剑</t>
  </si>
  <si>
    <t>50gp</t>
  </si>
  <si>
    <t>左臂</t>
  </si>
  <si>
    <t>戟</t>
  </si>
  <si>
    <t>右臂</t>
  </si>
  <si>
    <t>骑枪</t>
  </si>
  <si>
    <t>双臂</t>
  </si>
  <si>
    <t>长剑</t>
  </si>
  <si>
    <t>15gp</t>
  </si>
  <si>
    <t>全身</t>
  </si>
  <si>
    <t>巨锤</t>
  </si>
  <si>
    <t>钉头锤</t>
  </si>
  <si>
    <t>长矛</t>
  </si>
  <si>
    <t>18lb</t>
  </si>
  <si>
    <t>刺剑</t>
  </si>
  <si>
    <t>灵巧</t>
  </si>
  <si>
    <t>弯刀</t>
  </si>
  <si>
    <t>灵巧，轻型</t>
  </si>
  <si>
    <t>短剑</t>
  </si>
  <si>
    <t>三叉戟</t>
  </si>
  <si>
    <t>战镐</t>
  </si>
  <si>
    <t>战锤</t>
  </si>
  <si>
    <t>布甲</t>
  </si>
  <si>
    <t>兽皮甲</t>
  </si>
  <si>
    <t>环甲</t>
  </si>
  <si>
    <t>鞭</t>
  </si>
  <si>
    <t>灵巧，触及</t>
  </si>
  <si>
    <t>皮甲</t>
  </si>
  <si>
    <t>链甲衫</t>
  </si>
  <si>
    <t>链甲</t>
  </si>
  <si>
    <t>军用远程武器</t>
  </si>
  <si>
    <t>吹箭筒</t>
  </si>
  <si>
    <t>弹药（射程25/100）装填</t>
  </si>
  <si>
    <t>镶钉皮甲</t>
  </si>
  <si>
    <t>鳞甲</t>
  </si>
  <si>
    <t>板条甲</t>
  </si>
  <si>
    <t>手弩</t>
  </si>
  <si>
    <t>弹药（射程30/120），轻型，装填</t>
  </si>
  <si>
    <t>75gp</t>
  </si>
  <si>
    <t>胸甲</t>
  </si>
  <si>
    <t>板甲</t>
  </si>
  <si>
    <t>重弩</t>
  </si>
  <si>
    <t>弹药（射程100/400），重型，装填，双手</t>
  </si>
  <si>
    <t>守序善良</t>
  </si>
  <si>
    <t>中立善良</t>
  </si>
  <si>
    <t>混乱善良</t>
  </si>
  <si>
    <t>半身板甲</t>
  </si>
  <si>
    <t>长弓</t>
  </si>
  <si>
    <t>弹药（射程150/600），重型，双手</t>
  </si>
  <si>
    <t>守序中立</t>
  </si>
  <si>
    <t>绝对中立</t>
  </si>
  <si>
    <t>混乱中立</t>
  </si>
  <si>
    <t>捕网</t>
  </si>
  <si>
    <t>守序邪恶</t>
  </si>
  <si>
    <t>中立邪恶</t>
  </si>
  <si>
    <t>混乱邪恶</t>
  </si>
  <si>
    <t>护甲名称</t>
  </si>
  <si>
    <t>熟练加值</t>
  </si>
  <si>
    <t>武器命中</t>
  </si>
  <si>
    <t>武器伤害</t>
  </si>
  <si>
    <t>运动健将</t>
  </si>
  <si>
    <t>生存专家</t>
  </si>
  <si>
    <t>准备栏</t>
  </si>
  <si>
    <t>炼金工具</t>
  </si>
  <si>
    <t>酿酒工具</t>
  </si>
  <si>
    <t>书法工具</t>
  </si>
  <si>
    <t>木匠工具</t>
  </si>
  <si>
    <t>制图工具</t>
  </si>
  <si>
    <t>鞋匠工具</t>
  </si>
  <si>
    <t>厨师工具</t>
  </si>
  <si>
    <t>玻璃匠工具</t>
  </si>
  <si>
    <t>珠宝匠工具</t>
  </si>
  <si>
    <t>皮匠工具</t>
  </si>
  <si>
    <t>泥瓦匠工具</t>
  </si>
  <si>
    <t>画家工具</t>
  </si>
  <si>
    <t>陶匠工具</t>
  </si>
  <si>
    <t>铁匠工具</t>
  </si>
  <si>
    <t>修补工具</t>
  </si>
  <si>
    <t>织布工具</t>
  </si>
  <si>
    <t>木雕工具</t>
  </si>
  <si>
    <t>易容工具</t>
  </si>
  <si>
    <t>文书伪造工具</t>
  </si>
  <si>
    <t>－</t>
  </si>
  <si>
    <t>草药工具</t>
  </si>
  <si>
    <t>风笛</t>
  </si>
  <si>
    <t>鼓</t>
  </si>
  <si>
    <t>扬琴</t>
  </si>
  <si>
    <t>长笛</t>
  </si>
  <si>
    <t>鲁特琴</t>
  </si>
  <si>
    <t>里拉琴</t>
  </si>
  <si>
    <t>角号</t>
  </si>
  <si>
    <t>排箫</t>
  </si>
  <si>
    <t>芦笛</t>
  </si>
  <si>
    <t>提琴</t>
  </si>
  <si>
    <t>领航工具</t>
  </si>
  <si>
    <t>制毒工具</t>
  </si>
  <si>
    <t>盗贼工具</t>
  </si>
  <si>
    <t>包括一个箱子、两个地图或卷轴匣、一套高档服装、一瓶墨水、一支墨水笔、一盏油灯、两支扁瓶灯油、五张纸、一支小瓶香水、一块封蜡和一块肥皂。</t>
  </si>
  <si>
    <t>包括一个背包、一卷铺盖、两套表演服装、五支蜡烛、五天份口粮、一个水袋和一套易容工具。</t>
  </si>
  <si>
    <t>包括一个背包、一条毯子、十支蜡烛、一个火绒盒、一个募捐盒、两块熏香、一个香炉、祭袍、两天份口粮和一只水袋。</t>
  </si>
  <si>
    <t>算盘</t>
  </si>
  <si>
    <t>水晶</t>
  </si>
  <si>
    <t>法球</t>
  </si>
  <si>
    <t>权杖</t>
  </si>
  <si>
    <t>法杖</t>
  </si>
  <si>
    <t>魔杖</t>
  </si>
  <si>
    <t>背包</t>
  </si>
  <si>
    <t>篮子</t>
  </si>
  <si>
    <t>铺盖</t>
  </si>
  <si>
    <t>铃铛</t>
  </si>
  <si>
    <t>滑轮组</t>
  </si>
  <si>
    <t>玻璃瓶</t>
  </si>
  <si>
    <t>蜡烛</t>
  </si>
  <si>
    <t>弩矢匣</t>
  </si>
  <si>
    <t>一只木匣能装二十支弩矢。</t>
  </si>
  <si>
    <t>地图或卷轴匣</t>
  </si>
  <si>
    <t>一个圆柱形皮匣能够装上十张卷起的纸或是五张卷起的羊皮纸。</t>
  </si>
  <si>
    <t>攀爬工具</t>
  </si>
  <si>
    <t>普通服装</t>
  </si>
  <si>
    <t>表演服装</t>
  </si>
  <si>
    <t>高档服装</t>
  </si>
  <si>
    <t>旅行者服装</t>
  </si>
  <si>
    <t>材料包</t>
  </si>
  <si>
    <t>撬棍</t>
  </si>
  <si>
    <t>在适当的地方使用撬棍时，可以让相应的力量检定具有优势。</t>
  </si>
  <si>
    <t>槲寄生枝条</t>
  </si>
  <si>
    <t>图腾</t>
  </si>
  <si>
    <t>渔具</t>
  </si>
  <si>
    <t>扁瓶或大杯</t>
  </si>
  <si>
    <t>爪钩</t>
  </si>
  <si>
    <t>锤子</t>
  </si>
  <si>
    <t>医疗包</t>
  </si>
  <si>
    <t>护符</t>
  </si>
  <si>
    <t>徽章</t>
  </si>
  <si>
    <t>圣物匣</t>
  </si>
  <si>
    <t>沙漏</t>
  </si>
  <si>
    <t>狩猎陷阱</t>
  </si>
  <si>
    <t>墨水笔</t>
  </si>
  <si>
    <t>壶或罐</t>
  </si>
  <si>
    <t>油灯</t>
  </si>
  <si>
    <t>牛眼提灯</t>
  </si>
  <si>
    <t>附盖提灯</t>
  </si>
  <si>
    <t>锁</t>
  </si>
  <si>
    <t>放大镜</t>
  </si>
  <si>
    <t>镣铐</t>
  </si>
  <si>
    <t>野炊工具</t>
  </si>
  <si>
    <t>钢面镜</t>
  </si>
  <si>
    <t>矿工镐</t>
  </si>
  <si>
    <t>岩钉</t>
  </si>
  <si>
    <t>铁壶</t>
  </si>
  <si>
    <t>治疗药水</t>
  </si>
  <si>
    <t>小包</t>
  </si>
  <si>
    <t>箭袋</t>
  </si>
  <si>
    <t>一只箭袋可以盛装20支箭。</t>
  </si>
  <si>
    <t>便携式攻城锤</t>
  </si>
  <si>
    <t>适合长途旅行携带的高能量干粮，包括牛肉干、干果、饼干和坚果等。</t>
  </si>
  <si>
    <t>长袍</t>
  </si>
  <si>
    <t>麻质的绳索，拥有2点生命值，且可以通过一次成功的DC17力量检定扯断。</t>
  </si>
  <si>
    <t>丝质的绳索，拥有2点生命值，且可以通过一次成功的DC17力量检定扯断。</t>
  </si>
  <si>
    <t>商用天平</t>
  </si>
  <si>
    <t>封蜡</t>
  </si>
  <si>
    <t>铲子</t>
  </si>
  <si>
    <t>玺戒</t>
  </si>
  <si>
    <t>肥皂</t>
  </si>
  <si>
    <t>法术书</t>
  </si>
  <si>
    <t>硬皮封面的法术书是法师们的必须品，为方便记录法术，其通常都留有100张羊皮纸空书页。</t>
  </si>
  <si>
    <t>望远镜</t>
  </si>
  <si>
    <t>双人帐篷</t>
  </si>
  <si>
    <t>火绒盒</t>
  </si>
  <si>
    <t>火把</t>
  </si>
  <si>
    <t>小瓶</t>
  </si>
  <si>
    <t>水袋</t>
  </si>
  <si>
    <t>磨刀石</t>
  </si>
  <si>
    <t>狂战士</t>
  </si>
  <si>
    <t>图腾武者</t>
  </si>
  <si>
    <t>狂热者</t>
  </si>
  <si>
    <t>先祖守卫</t>
  </si>
  <si>
    <t>风暴先驱</t>
  </si>
  <si>
    <t>战狂</t>
  </si>
  <si>
    <t>狂野魔法道途</t>
  </si>
  <si>
    <t>野兽道途</t>
  </si>
  <si>
    <t>奇械师</t>
  </si>
  <si>
    <t>第3级时，你的宗主赐予你一个护身符，一个当需要的时候可以帮助佩戴者的护身符。
当佩戴者在一次能力检定中失败，他们可以在骰掷结果上增加一个d4骰，这可能将结果变为成功。
这一能力可使用的次数等于你的熟练加值，且所有已消耗的次数将会在你完成一次长休之后全部恢复。
如果你弄丢了护身符，你可以进行一个1小时的仪式从你的宗主那里得到一个替代品。
这一仪式可以在一个短休或一个长休过程中完成，且它将会破坏之前的护身符。
护身符将会在你死亡时消散为灰尘。</t>
  </si>
  <si>
    <t>魔能选项</t>
  </si>
  <si>
    <t>从4级起，每当你的邪术师达到了可以获得属性值提升的等级，你可以做以下的一件事来代表你在奥秘研究当中重点的转变。
可以将你从该职业契约法术中学到的戏法替换为另一个邪术师法术列表中的戏法。
可以将你从魔契恩泽中选择的一个选项替换为此魔契的另一选项。
如果你的角色已经12级或者更高，你可以将一个玄奥秘法的法术替换为另一个同环邪术师法术。 
如果这些改变让你不再符合某些魔能祈唤的条件，你必须现在选择那些符合你条件的祈唤来替换它们。</t>
  </si>
  <si>
    <t>勇士</t>
  </si>
  <si>
    <t>战斗大师</t>
  </si>
  <si>
    <t>奥法骑士</t>
  </si>
  <si>
    <t>魔射手</t>
  </si>
  <si>
    <t>骑兵</t>
  </si>
  <si>
    <t>武士</t>
  </si>
  <si>
    <t>紫龙骑士</t>
  </si>
  <si>
    <t>回音骑士</t>
  </si>
  <si>
    <t>符文骑士</t>
  </si>
  <si>
    <t>灵能武士</t>
  </si>
  <si>
    <t>散打宗</t>
  </si>
  <si>
    <t>暗影宗</t>
  </si>
  <si>
    <t>四象宗</t>
  </si>
  <si>
    <t>醉拳宗</t>
  </si>
  <si>
    <t>剑圣宗</t>
  </si>
  <si>
    <t>日魂宗</t>
  </si>
  <si>
    <t>永亡宗</t>
  </si>
  <si>
    <t>命流宗</t>
  </si>
  <si>
    <t>星我宗</t>
  </si>
  <si>
    <t>法器</t>
  </si>
  <si>
    <t>驯兽师</t>
  </si>
  <si>
    <t>幽域追踪者</t>
  </si>
  <si>
    <t>边界行者</t>
  </si>
  <si>
    <t>怪物杀手</t>
  </si>
  <si>
    <t>妖精漫游者</t>
  </si>
  <si>
    <t>盗贼</t>
  </si>
  <si>
    <t>刺客</t>
  </si>
  <si>
    <t>诡术师</t>
  </si>
  <si>
    <t>策士</t>
  </si>
  <si>
    <t>斥候</t>
  </si>
  <si>
    <t>游荡剑客</t>
  </si>
  <si>
    <t>鬼魅</t>
  </si>
  <si>
    <t>魂刃</t>
  </si>
  <si>
    <t>至高妖精</t>
  </si>
  <si>
    <t>邪魔宗主</t>
  </si>
  <si>
    <t>旧日支配者</t>
  </si>
  <si>
    <t>天界宗主</t>
  </si>
  <si>
    <t>咒剑士</t>
  </si>
  <si>
    <t>不朽者</t>
  </si>
  <si>
    <t>巨灵宗主</t>
  </si>
  <si>
    <t>炼金师</t>
  </si>
  <si>
    <t>魔炮师</t>
  </si>
  <si>
    <t>战地匠师</t>
  </si>
  <si>
    <t>装甲师</t>
  </si>
  <si>
    <t>范型</t>
  </si>
  <si>
    <t>列1</t>
  </si>
  <si>
    <t>列2</t>
  </si>
  <si>
    <t>最小数据行</t>
  </si>
  <si>
    <t>最大数据行</t>
  </si>
  <si>
    <t>0v0?</t>
  </si>
  <si>
    <t>名称列</t>
  </si>
  <si>
    <t>描述列</t>
  </si>
  <si>
    <t>增值</t>
  </si>
  <si>
    <t>？？？</t>
  </si>
  <si>
    <t>护甲熟练</t>
  </si>
  <si>
    <t>轻甲、中甲、盾牌</t>
  </si>
  <si>
    <t>轻甲</t>
  </si>
  <si>
    <t>轻甲、中甲、盾牌（德鲁伊不能装备或使用金属质的护甲和盾）</t>
  </si>
  <si>
    <t>全部护甲、盾牌</t>
  </si>
  <si>
    <t>无</t>
  </si>
  <si>
    <t>所有护甲和盾牌</t>
  </si>
  <si>
    <t>武器熟练</t>
  </si>
  <si>
    <t>简易武器、军用武器</t>
  </si>
  <si>
    <t>简易武器、手弩、长剑、刺剑、短剑</t>
  </si>
  <si>
    <t>简易武器</t>
  </si>
  <si>
    <t>短棒、匕首、飞镖、标枪、硬头锤、长棍、弯刀、镰刀、投石索、矛</t>
  </si>
  <si>
    <t>简易武器、短剑</t>
  </si>
  <si>
    <t>简易武器和军用武器</t>
  </si>
  <si>
    <t>匕首、飞镖、投石索、长棍、轻弩</t>
  </si>
  <si>
    <t>工具熟练</t>
  </si>
  <si>
    <t>自选三种乐器</t>
  </si>
  <si>
    <t>选择一种工匠工具或一种乐器</t>
  </si>
  <si>
    <t>盗贼工具、修补工具、其他一种你选择的工匠工具</t>
  </si>
  <si>
    <t>狂暴</t>
  </si>
  <si>
    <t>施法</t>
  </si>
  <si>
    <t>你习得以音乐为媒介随意解构、分解，再重新构造现实的方法。
你的法术是融入你纷繁奏乐中的音符，也是你以各种形式谱奏的魔法乐章。</t>
  </si>
  <si>
    <t>你作为神圣力量的导体得以施展牧师法术。</t>
  </si>
  <si>
    <t>德鲁伊语</t>
  </si>
  <si>
    <t>你习得德鲁伊语——即一种德鲁伊间的秘密语言。
你可以说这门语言并用它留下隐藏的信息。
懂得这门语言的人（包括你自己）会自动注意到此信息，而不懂此语言的人通过一次DC15的感知（察觉）检定后可以注意到其存在，不过不能用非魔法手段读懂。</t>
  </si>
  <si>
    <t>战斗风格</t>
  </si>
  <si>
    <t>你专精于一种战斗风格，并从下列选项中选择。
另外，即使你有多次选择战斗风格的机会，也不能多次选择同一个战斗风格。
箭术：你使用远程武器进行攻击检定时具有+2加值。
防御：着装护甲时，你的AC获得+1加值。
对决：单手持用一把近战武器，且并未同时持用其他武器时，你用该武器攻击的伤害掷骰获得+2加值。
巨武器战斗：双手持用一把近战武器发动攻击时，如果你的伤害掷骰掷出1或2，则可以选择重掷。不过哪怕其仍是1或2，你都必须接受重掷的数值。此外，该武器必须具有双手或两用属性。
守护：当某个你能看见的生物攻击你身边5尺内除你之外的目标时，你可以用反应迫使该攻击的攻击检定具有劣势。此时你必须持用盾牌。
双武器战斗：使用两把武器战斗时，你可以将相应属性调整值加到第二次攻击的伤害上。</t>
  </si>
  <si>
    <t>无甲防御</t>
  </si>
  <si>
    <t>第1级起，未着装任何护甲也没持用盾牌时，你的AC值等于10＋你的敏捷调整值＋你的感知调整值。</t>
  </si>
  <si>
    <t>神圣感知</t>
  </si>
  <si>
    <t>强大的邪恶存在于你有如带毒的香气，而强大的善良光环于你则如仙乐般悠扬。
你可以使用一个动作扩展你的意识，以侦测此类势力。
直到你下回合结束前，你可以对身边60尺范围内进行感测，任何未对你处在全身掩护状态的天界生物、邪魔或不死生物都将被你定位。
你感应到范围内生物的种类（天界生物、邪魔、不死生物），不过并不能精确指明。
在同样的范围内，你也可以侦测任何受到圣居一类的法术祝福或亵渎的地点或物件。
该特性的可用次数等于1＋你的魅力调整值。
而已消耗的特性使用次数，则可以通过完成一次长休进行恢复。</t>
  </si>
  <si>
    <t>宿敌</t>
  </si>
  <si>
    <t>第1级起，你针对一种特定类型敌人的研究令你有着充足的经验用以追踪、狩猎乃至与之交流。
从下列种类中选择其一作为宿敌：异怪、野兽、天界生物、构装生物、龙、元素生物、精类生物、邪魔、巨人、怪兽、泥怪、植物、不死生物。
或者作为另一种方案，你也可以选择两个类人生物种族（例如豺狼人和兽人）作为宿敌。
追踪宿敌时，你的感知（求生）检定，以及回想关于宿敌信息时进行的智力检定具有优势。
获得该特性时，如果你选择的宿敌具有语言能力，则你还可以学会宿敌所知晓的一门语言。
第6和第14级时，你将分别获得一个额外的宿敌以及相关语言。
另外，随着等级的提升，你所选择的宿敌应该与你在冒险中所遭遇怪物的种类层次相符。</t>
  </si>
  <si>
    <t>专精</t>
  </si>
  <si>
    <t>第1级起，你选择两个已有技能熟练项，或者一个技能熟练项和盗贼工具熟练项。
此后你进行该项目的检定时，可以使用双倍的熟练加值。
第6级时，你可以再选择另外两个已有的技能熟练项（或盗贼工具熟练项）从该特性中获益。</t>
  </si>
  <si>
    <t>过去的一个事件激发了你体内先辈的血脉，为你烙上了奥法力量的坚固印记。
这股起源于某种存在的魔力驱动着你的法术能力。</t>
  </si>
  <si>
    <t>契约魔法</t>
  </si>
  <si>
    <t>你的法术力量源于你的奥秘研究和宗主的魔法馈赠。</t>
  </si>
  <si>
    <t>作为一名奥术魔法的研习者，你拥有一本自己的法术书。
书中所包含的法术隐约透露着你真正的力量。</t>
  </si>
  <si>
    <t>魔法工艺</t>
  </si>
  <si>
    <t>在第1级，你将学习如何在平凡的物品中注入魔法的火花。
要使用这个能力，你必须手持盗贼工具，或工匠工具。
然后花费一个动作触摸一个微小的非魔法物体，从以下魔法属性中选择一个赋予它：
该物体提供5尺半径的明亮照明，以及该范围外5尺范围的微光照明。
无论何时，只要该物品被生物触碰，就会发出可在10英尺外听到的录音信息，录入的信息在你将此属性赋予对象时决定，且时长不可超过6秒。
物品不断地发出一种气味或一种非语言的声音（风声、浪声、鸟叫或类似的声音），这一现象最多能传播10英尺远。
一个静态的视觉效果出现在物体的表面上，这个效果可以是一幅图片，最多25个单词的文本，线条和形状，或者这些元素的混合，如你所愿。
所选的魔法属性持续时间无限。你能够以一个动作触摸对象来消除这一魔法属性。
你能够通过此特性将魔力赋予多个物品，每次使用该特性时都需要触摸一个物品，并且单个物品一次只能承载一种魔法属性。
你能够使用该特性影响的物品的最大数量等于你的智力调整值（最少一个物品）。
如果你试图超过最大值，最老的魔法属性将立即结束，然后新的魔法属性生效。</t>
  </si>
  <si>
    <t>第1级时，你从诗人法术列表中选择两个戏法作为已知法术。
在获得更高诗人等级后你还可以习得其它的戏法，具体数量见“吟游诗人职业表”中“已知戏法”一栏。</t>
  </si>
  <si>
    <t>第1级时，你选择三个牧师法术列表中的戏法作为已知法术。
在获得更高的牧师等级后你还可以习得其它的戏法，具体数据参见“牧师职业表”中“已知戏法”一栏。</t>
  </si>
  <si>
    <t>你掌握自然世界的神圣本质，并依你的意志施展法术对其进行重塑。</t>
  </si>
  <si>
    <t>回气</t>
  </si>
  <si>
    <t>你拥有少量精力储备可用来保护自己免受伤害。
你可以在自己回合内用一个附赠动作恢复生命值，其总值为1d10＋你的战士职业等级。
你必须完成一次短休或长休才能再次使用该特性。</t>
  </si>
  <si>
    <t>武艺</t>
  </si>
  <si>
    <t>第1级时，你修行的武艺让你使用徒手打击和武僧武器时得心应手。
武僧武器包括短剑和所有不含双手与重型属性的简易近战武器。
未着装任何护甲也没持用盾牌时，如果你徒手或只持用武僧武器，则你发动的攻击拥有下列增益：
你使用徒手打击或武僧武器进行攻击时，可以用敏捷值代替力量值进行攻击检定和伤害掷骰。
你使用徒手打击或武僧武器进行攻击时，可以选择用d4骰代替原本的伤害掷骰。该骰子将随武僧职业等级的提升而增大，具体数据见“武僧职业表”中“武艺”一栏。
你使用徒手打击或武僧武器执行攻击动作时，可以在自己回合内以附赠动作发动一次徒手打击。
例如，你执行攻击动作并使用长棍发动攻击时，若你本轮没有执行任何附赠动作，则可以用附赠动作来发动一次徒手打击。
某些宗派的武僧会使用一些奇异的武僧武器，比如铁链连接的两根短棒（双截棍），或者带直刃的镰刀（单镰）。
无论你使用什么武器，其属性数据都参考与其相似的常规武器属性数据。
具体的武器数据见第5章。</t>
  </si>
  <si>
    <t>圣疗</t>
  </si>
  <si>
    <t>你的触碰溢满祝福，可以医治伤口。
你获得一个治疗能量池，其内的治疗能量在每次完成长休后自动补满。
治疗能量池储备的可恢复生命值总值等于你的圣武士职业等级×5。
你可以用一个动作触碰一个生物，并抽取治疗能量池中的能量恢复该生物的生命值，其恢复量最多等于你治疗能量池中剩余的治疗量。
此外，你也可以使用5点治疗量治愈目标生物身上的一种疾病，或者祛除一种中毒效应。
你可以在一次圣疗中治愈复数的疾病并祛除复数的毒素，但你需要为每一种疾病和毒素分别支付治疗量。
该职业特性对不死生物和构装生物无效。</t>
  </si>
  <si>
    <t>自然探索者</t>
  </si>
  <si>
    <t>你对某种自然环境特别熟悉，并适应了在其中行走及生存。
从下列类别中选择一种偏爱地形：极地、海岸、荒漠、丛林、草原、山地、沼泽或幽暗地。
当你进行与偏好地形相关的智力或感知检定时，如果你拥有该技能的熟练项，则在检定时加入双倍熟练加值。
当你在偏好地形上移动一小时或更长时间时，你获得以下增益：
你的队伍旅行时不会因困难地形而变慢
除非受魔法效应影响，否则你的队伍不会迷路
旅行时，即使你进行另一项活动（如觅食、导航或追踪），仍能对危险保持警觉
独自旅行时，你能够保持隐匿状态以正常步调移动
觅食时，你会发现两倍的食物
追踪其他生物时，你还能了解他们的确切数量、体型以及离开踪迹的时间
你在第6级和第10级时将分别获得一个额外的偏好地形。</t>
  </si>
  <si>
    <t>偷袭</t>
  </si>
  <si>
    <t>第1级起，你就知道如何精确地攻击分心的敌人。
每当你的攻击命中一个生物时，如果该攻击的攻击检定带有优势，则可以造成额外1d6的伤害。
该伤害每回合可以产生一次，且造成伤害的攻击必须使用带灵巧属性的武器或远程武器。
如果目标生物身边5尺内还有其他与之对敌者，且该对敌者并未处于失能状态，则只要你的攻击检定没有劣势，就可以发动偷袭。
你的偷袭伤害也将会随游荡者职业等级的提升而提高，其具体数值见“游荡者职业表”。</t>
  </si>
  <si>
    <t>第1级时，你从术士法术列表里选择四个戏法作为已知法术。
在获得更高的术士等级后你还可以习得其它的戏法，具体数量见“术士职业表”中“已知戏法”一栏。</t>
  </si>
  <si>
    <t>第1级时，你从法师法术列表中选择三个戏法作为已知法术。
在获得更高的法师等级后你还可以习得其它的戏法，具体数量参见“法师职业表”中“已知戏法”一栏。</t>
  </si>
  <si>
    <t>技艺的魔法</t>
  </si>
  <si>
    <t>身为一名奇械师，你在施法时使用工具，当描述你的施法时，请想想你是如何使用一个工具来执行这个法术效果的。
如果你使用炼金工具来施展疗伤术，你可以很快的制造出药膏。
如果你用修补工具来施展，你可能会拿出一个微型机械蜘蛛来缝合伤口。
当你施放毒液喷溅时，你可以喷射出有毒的化学物质，或者使用一根喷射毒液的魔杖。
法术的效果和其他的施法者职业是一样，但是你的施法方法是特殊的。
同样的原则也适用于你准备法术的时候，作为一名奇械师，你不需要学习魔法书，也不需要祈祷去准备你的魔法。
你需要使用工具来制造用于产生效果的特定物品，如果你用电爪替换疗伤术，你可能会破坏你用来治疗的设备，并用它的部件制造一个攻击性的物品——这可能是一只能够让你引导冲击性能量的长手套。
这些细节不会以任何方式限制你，也不会给你带来任何好处，你不需要证明你是如何使用工具来施展法术的，但是创造性地描述你的施法是一种能够让你从其他施法者中脱颖而出的有趣方法。</t>
  </si>
  <si>
    <t>鲁莽攻击</t>
  </si>
  <si>
    <t>“吟游诗人职业表”中记录了你可用以施展诗人法术的1环及更高环阶法术位数量。
施展诗人法术时，你必须同时消耗其对应环阶的法术位。
已消耗的法术位可在完成长休后恢复。</t>
  </si>
  <si>
    <t>法术的准备与施展</t>
  </si>
  <si>
    <t>“牧师职业表”里记录了你用以施展牧师法术的1环及更高环阶法术位数量。
施展某个牧师法术时，你必须同时消耗其对应环阶的法术位。
已消耗的法术位可在完成长休后恢复。
你可以准备牧师法术列表中所有符合当前施展条件的法术。
准备法术时，你所准备法术的总数等于你的感知调整值＋你的牧师职业等级（最少可以准备一个）。
另外，你只能准备已经获得相应环阶法术位的法术。
例如，作为一名3级牧师时，你拥有四枚1环法术位和两枚2环法术位。假如你的感知为16，则你的准备法术列表可以囊括总共六个1环或2环法术的组合。如果你准备了1环法术疗伤术cure wounds，则你可以使用1环或者2环的法术位来施展它。另外，已施展的法术并不会从你的准备列表中移除。
你可以在完成长休后改变你的准备法术列表。
准备新的牧师法术列表时，你要再花时间进行祈祷和冥想。
准备时，你要为你列表上每个法术的每个环阶都花费至少1分钟时间。</t>
  </si>
  <si>
    <t>第1级时，你选择两项德鲁伊法术列表中的戏法作为已知法术。
在获得更高的德鲁伊等级后你还可以习得其它的戏法，具体数据参见“德鲁伊职业表”中“已知戏法”一栏。</t>
  </si>
  <si>
    <t>动作如潮</t>
  </si>
  <si>
    <t>第2级起，你可以在短时间内突破极限，以使你在自己回合内执行一个额外的动作。
该特性在使用后必须完成一次短休或长休才能再使用。
第17级起，你可在休息前使用两次该特性，但每一回合只能使用一次。</t>
  </si>
  <si>
    <t>气</t>
  </si>
  <si>
    <t>第2级起，你掌握一股名为气的神秘能量。
此后你将拥有一定数量的气作为储备。
而气的储备量由你的武僧等级决定，具体数值见“武僧职业表”中“气”一栏。
你可以消耗气以行使各种特性。
一开始你掌握三种特性：疾风连击，坚强防御，飞檐走壁。
此后，随着等级的提升你将习得更多的特性。
消耗掉的气必须在你短休或长休时完成至少30分钟的冥想，才能重获所有消耗掉的气值。
某些特性需要目标进行豁免检定来抵抗你特性造成的效应。
其豁免DC如下：
气豁免DC＝8＋你的熟练加值＋你的感知调整值</t>
  </si>
  <si>
    <t>第2级起，你将精进于一种战斗风格，从下列选项中选择其一。
另外，即使你有多次选择战斗风格的机会，也不能重复选择同一个战斗风格。
防御：着装护甲时，你的AC获得+1加值。
对决：单手持用一把近战武器，且并未同时持用其他武器时，你使用该武器进行攻击的伤害掷骰获得+2加值。
巨武器战斗：双手持用一把近战武器发动攻击时，若你的伤害掷骰掷出1或2，则可以选择重掷。
不过哪怕其仍是1或2，你都必须接受重掷的数值。
此外，该武器必须具有双手或两用属性。
守护：当某个你能看见的生物攻击你身边5尺内除你之外的目标时，你可以用反应迫使该攻击的攻击检定具有劣势。
你必须持用盾牌以实现该效果。</t>
  </si>
  <si>
    <t>第2级起，你将精进于一种战斗风格，从下列选项中选择其一。
另外，即使你有多次选择战斗风格的机会，也不能重复选择同一个战斗风格。
箭术：使用远程武器进行攻击检定时具有+2加值。
防御：着装护甲时，你的AC获得+1加值。
对决：单手持用一把近战武器，且并未同时持用其他武器时，你用该武器攻击的伤害掷骰获得+2加值。
双武器战斗：使用两把武器战斗时，你可以将相应属性调整值加到第二次攻击的伤害上。</t>
  </si>
  <si>
    <t>盗贼黑话</t>
  </si>
  <si>
    <t>作为一名游荡者，你在平时的练习中学会了盗贼间的黑话。
盗贼黑话是一门混合了土话、术语和密语的秘密语言，掌握这门语言后，你可以在平时对话中不落痕迹的加入隐藏信息。
而只有另一个懂盗贼黑话的生物才能看懂这些隐藏信息。
不过这种交流方式需要花费四倍于直接交流所需要的时间。
另外，你还习得一套用以传达简单短小信息的秘密符文和标识。
它能发布的内容诸如某地区是否危险，是否受盗贼公会管辖，附近是否有战利品，附近的人是否好主顾或者路上是否有安全的房屋以供庇护。</t>
  </si>
  <si>
    <t>“术士职业表”中记录了你用以施展你术士法术的1环及更高环阶法术位数量。
施展某个术士法术时，你必须同时消耗其对应环阶的法术位。
已消耗的法术位可在完成长休后恢复。
例如，若你已知1环法术燃烧之手burning hands，并且拥有一枚可用的1环法术位和一枚可用的2环法术位，则这两枚法术位都可以用来施展该法术。</t>
  </si>
  <si>
    <t>你的法术书</t>
  </si>
  <si>
    <t>你在等级提升时加入法术书中的法师法术，体现了你的奥术研究成果，同时也代表你对多元宇宙本质的认知的新突破。
你也许会在冒险过程中发现其他的法术。
例如，你可能在一个邪恶法师的箱子里发现了一张记载有法术的卷轴，或者在一个上古图书馆中发现了灰尘覆盖的卷册。
将法术抄入法术书：当你发现一道1环或更高环阶的法师法术时，你可以将其抄入你的法术书中，前提是，你必须能够准备该法术，且也有时间去解读和复制它。
抄写法术时，你必须先重构该法术的基础式，然后解读抄写该法术的法师所使用的独特符号系统。
你必须反复练习这个法术，直至完全理解其所需的咒语和手势，最后用再用你自己的符号系统将之抄入法术书。
这个过程将消耗每法术环阶2小时的时间和每法术环阶50gp的资金。
这笔开销代表你在练习这个法术的过程中消耗的材料成分，还有抄录法术所需的上好的墨水。
当你花费了这一笔时间和金钱后，你就可以如同准备其他法术一般准备这个法术了。
替换法术书：你可以把法术从你的法术书抄到另一本书上——例如，你打算为你的法术书做一个备份时，就可以这么做。
这个进程和将新法术抄入法术书相似，但更快也更简单，因为你早已理解了你自己的符号系统，也知道如何施展这个法术。
这时，你只需要花费每环阶1小时和每环阶10gp的花费。
如果你弄丢了法术书，你也可以用相同的流程将你准备的法术抄入一本新法术书中。
而要填满法术书的其余部分就需要你自己去寻找新的法术了。
所以，很多法师都喜欢在安全的地方保存好备份的法术书。
法术书外观：你的法术书是一本独特的法术合集，其上有着独特的使用痕迹和空白页。
它可以是导师赠予的简洁实用的皮册；或是在远古图书馆中发现的华丽镶边书册；甚至可以是在你遭遇意外后，松散的订在一起的一堆手稿。</t>
  </si>
  <si>
    <t>你已经学习了魔法的工作原理，知道如何引导魔法进入物体，以及如何唤醒魔法。
因此，你获得了有限的施法能力，在旁观者看来，你不会用传统的方式施法——你看起来好像在通过各种物品创造奇迹。</t>
  </si>
  <si>
    <t>险境感知</t>
  </si>
  <si>
    <t>已知法术</t>
  </si>
  <si>
    <t>第1级时，你从诗人法术列表中选择四个1环法术作为已知法术。
“吟游诗人职业表”中“已知法术”一栏记录了你获得更多已知法术时的相应等级。
但是，你只能获取已有相应环阶法术位的法术。
比如当达到第3级时，你将获得一个1环或2环法术。
另外，你每提升一个诗人等级，可以从诗人法术列表中选择一个新法术来代替一个已知法术列表中的旧法术，不过你必须已有新法术的相应环阶法术位。</t>
  </si>
  <si>
    <t>施法关键属性</t>
  </si>
  <si>
    <t>你的法术力量来源于你对神祇的信仰，因此感知是你施展牧师法术的关键属性。
每当你的牧师法术需要施法关键属性时均指向你的感知值。
而你牧师法术的豁免DC和攻击检定，则使用你的感知调整值。
法术豁免DC＝8＋你的熟练加值＋你的感知调整值
法术攻击调整值＝你的熟练加值＋你的感知调整值</t>
  </si>
  <si>
    <t>法术的准备和施展</t>
  </si>
  <si>
    <t>“德鲁伊职业表”里记录了你用以施展德鲁伊法术的1环及更高环阶法术位数量。
施展某德鲁伊法术时，你必须同时消耗其对应环阶法术位。
已消耗的法术位可在完成长休后恢复。
你可以准备德鲁伊法术列表中所有符合当前施展条件的法术。
准备法术时，你所准备法术的总数等于你的感知调整值＋你的德鲁伊职业等级（最少可以准备一个）。
另外，你只能准备已经获得相应环阶法术位的法术。</t>
  </si>
  <si>
    <t>武术范型</t>
  </si>
  <si>
    <t>第3级时，你选择一种范型以体现你的战斗风格和技巧。
你可以从诸如勇士、战斗大师、奥法骑士等范型中选择其一。
随后，你将在第3、第7、第10、第15、第18级获得所选范型的相应特性。</t>
  </si>
  <si>
    <t>疾风连击</t>
  </si>
  <si>
    <t>你在自己回合内执行攻击动作后，可立即消耗1点气并以一个附赠动作发动两次徒手打击。</t>
  </si>
  <si>
    <t>第2级起，你学会通过冥想与祈祷引导神圣魔法，其原理与牧师相仿。</t>
  </si>
  <si>
    <t>第2级起，你学会运用自然世界的魔法本源进行施法，你的施法方式与德鲁伊类似。</t>
  </si>
  <si>
    <t>灵巧动作</t>
  </si>
  <si>
    <t>第2级起，你精妙的反应与身手使你的行动无比迅速。
你在战斗中每回合可执行一次附赠动作，该附赠动作可用以执行撤离、疾走或躲藏三种动作项其中之一。</t>
  </si>
  <si>
    <t>第1级时，你从术士法术列表里选择两个1环法术作为已知法术。
“术士职业表”中“已知法术”一栏记录了你获得更多已知法术时的相应等级。
但是你只能获取已有相应环阶法术位的法术。
比如，当你达到第3级时，你将获得一个1环或2环法术。
另外，你每提升一个术士等级，都可以从术士法术列表里选择一个新法术来代替一个已知法术列表中的旧法术。
但是，你必须拥有新法术的相应环阶法术位。</t>
  </si>
  <si>
    <t>第1级时，你让一本法术书纪录上六个你自选的1环法师法术。
你的法术书储存着你除戏法外的所有已知法术，而你的戏法则直接铭记在你脑海中。</t>
  </si>
  <si>
    <t>必备工具</t>
  </si>
  <si>
    <t>你通过你的工具产生你的奇械师法术效果，当你使用施法特性来施展法术时，必须手持一个法器——通常是盗贼工具或工匠工具。
你必须熟练这一工具才能将它作为法器使用，这些工具的描述请参见《玩家手册》第五章“装备”。
当你在第二级获得物品注法特性后，你也能使用任何你注入魔法的物品来作为法器使用，这意味着你施展的法术拥有“M（材料）”成分。</t>
  </si>
  <si>
    <t>原初道途</t>
  </si>
  <si>
    <t>第3级时，你选择一种道途来塑造你狂怒时的特质。
你可以从狂战士和图腾武者中选择其一。
随后，你将在第3、第6、第10、第14级时获得所选道途的相应特性。</t>
  </si>
  <si>
    <t>你的魔力源于你注入音乐或演说中的心灵力量，因此魅力是你施展吟游诗人法术的关键属性。
每当你的诗人法术需要施法关键属性时均指向你的魅力值。
而你诗人法术的豁免DC和攻击检定，则使用你的魅力调整值。
法术豁免DC＝8＋你的熟练加值＋你的魅力调整值
法术攻击调整值＝你的熟练加值＋你的魅力调整值</t>
  </si>
  <si>
    <t>仪式施法</t>
  </si>
  <si>
    <t>如果你所准备牧师法术中的某法术有带仪式标签，则你可以用这些法术进行仪式施法。</t>
  </si>
  <si>
    <t>圣树与圣木</t>
  </si>
  <si>
    <t>德鲁伊视特定种类的植物为圣物，典型的种类有：桤树、白蜡树、桦树、接骨木、榛树、冬青树、杜松、槲寄生、橡树、花楸树、柳树还有紫杉。
德鲁伊通常使用这些植物的一部分作为施法的法器，其中包括橡树或紫杉的长枝，或是槲寄生的枝条。
同样道理下，德鲁伊们也会使用这些木材制作其他物件，如武器和盾牌。
紫杉树代表了死亡与重生，因此常被用作弯刀和镰刀的手柄。
代表生命的白蜡树和代表力量的橡树，则非常适合制作手柄或整把武器（如短棒、长棍或盾牌）。
而代表大气的桤树则被用于制作投掷武器（如飞镖或标枪）。
某些地域的德鲁伊由于附近缺乏相应的植物，则会选择一些类似的品种作为代用。
比如荒漠地区的德鲁伊可能使用丝兰树甚至仙人掌作为代用。
例如，作为一名3级德鲁伊时，你拥有四枚1环法术位和两枚2环法术位。
假如你的感知为16，则你的准备法术列表可以囊括总共六个1环或2环法术的组合。
如果你准备了1环法术疗伤术，则你可以使用1环或者2环的法术位来施展它。
另外，已施展的法术并不会从你的准备列表中移除。
你可以在完成长休后改变你的准备法术列表。
准备新的德鲁伊法术列表时，你要再花时间进行祈祷和冥想。
准备时，你要为你列表上每个法术的每个环阶都花费至少1分钟时间。</t>
  </si>
  <si>
    <t>属性值提升</t>
  </si>
  <si>
    <t>当你达到第4、第6、第8、第12、第14、第16、第19级时，你可以选择一项属性值提升2点，或是选择两项属性各提升1点。
不过，你无法通过该特性让属性值超过20。</t>
  </si>
  <si>
    <t>坚强防御</t>
  </si>
  <si>
    <t>你在自己回合内，可以消耗1点气，并以一个附赠动作的形式来执行回避动作。</t>
  </si>
  <si>
    <t>“圣武士职业表”里记录了你用以施展圣武士法术的1环及更高环阶法术位数量。
施展某个圣武士法术时，你必须同时消耗其对应环阶的法术位。
而已消耗的法术位则可以通过完成一次长休进行恢复。
你可以准备圣武士法术列表中所有符合当前施展条件的法术。
准备法术时，你所准备法术的总数等于你的魅力调整值＋你圣武士职业等级的一半（最少可准备一个）。
另外，你只能准备已获得相应环阶法术位的法术。
例如，作为一名5级圣武士时，你拥有四枚1环法术位和两枚2环法术位。
假如你的魅力为14，则你的准备法术列表可以囊括四个1环或者2环法术的组合。
如果你已经准备了1环法术疗伤术，则你可以使用1环或2环的法术位来施展它。另外，已施展的法术并不会从你的准备列表中移除。
你可以在完成长休后改变你的准备法术列表。
准备新的圣武士法术列表时，你要再花时间进行祈祷和冥想。
准备时，你要为你列表上每个法术的每个环阶都花费至少1分钟时间。</t>
  </si>
  <si>
    <t>“游侠职业表”中记录了你可用以施展你游侠法术的1环及更高环阶法术位数量。
施展某个游侠法术时，你必须同时消耗其对应环阶的法术位。
而已消耗的法术位则可以通过完成一次长休进行恢复。
例如，若你已知1环法术化兽为友且有一枚可用的1环法术位和一枚可用的2环法术位，则两法术位都可用来施展该法术。</t>
  </si>
  <si>
    <t>游荡者范型</t>
  </si>
  <si>
    <t>第3级时，你选择学习一种特定的战斗范型。
你可以从盗贼、刺客或者诡术师中选择其一。
随后，你将在第3，第9，第13、第17级时获得所选范型的相应特性。</t>
  </si>
  <si>
    <t>你的魔力来源于你意志的现实投影，因此魅力是你施展术士法术的关键属性。
每当你的法术需要施法关键属性时均指向你的魅力值。
而你术士法术的豁免DC和攻击检定，则使用你的魅力调整值。
法术豁免DC＝8＋你的熟练加值＋你的魅力调整值
法术攻击调整值＝你的熟练加值＋你的魅力调整值</t>
  </si>
  <si>
    <t>“法师职业表”里记录了你用以施展你法师法术的1环及更高环阶法术位数量。
施展某个法师法术时，你必须同时消耗其对应环阶的法术位。
已消耗的法术位可在完成长休后恢复。
你可以准备一系列符合当前施法条件的法师法术。
准备法术时，你从法术书中选择的准备法术总数等于你的智力调整值＋你的法师职业等级（最少为1）。
另外，你只能准备已经获得相应环阶法术位的法术。
例如，作为一名3级法师时，你拥有四枚1环法术位和两枚2环法术位。
假如你的智力为16，则你的准备法术列表可以囊括总共六个1环或2环法术的组合。
如果你准备了1环法术魔法飞弹，则你可以使用1环或者2环的法术位来施展它。
另外，已施展的法术并不会从你的准备列表中移除。
你可以在完成长休后改变你的准备法术列表。
准备新的法师法术列表时，你要再花时间研读你的法术书，并重新记忆所准备法术的咒语和施展动作。
准备时，你要为你列表上每个法术的每个环阶都花费至少1分钟时间。</t>
  </si>
  <si>
    <t>在第1级，你从奇械师法术列表中习得两个戏法。
在更高的等级，你能够根据“奇械师职业表”习得更多戏法。
当你提升一个奇械师等级时，你能够从奇械师法术列表中习得一个新的戏法来替换一个原有的已知戏法。</t>
  </si>
  <si>
    <t>当达到第4、8、12、16、19级时，你可以选择一项属性值提升2点，或是选择两项属性各提升1点。
不过你不能通过此特性让属性值超过20。</t>
  </si>
  <si>
    <t>如果你已知法术列表中的某法术带有仪式标签，则你可以用这些法术进行仪式施法。</t>
  </si>
  <si>
    <t>你可以使用圣徽作为施展牧师法术的法器。</t>
  </si>
  <si>
    <t>你的法术力量源于你对自然的信仰与同调，因此感知是你施展德鲁伊法术的关键属性。
每当你的德鲁伊法术需要施法关键属性时均指向你的感知值。
而你德鲁伊法术的豁免DC和攻击检定，则使用你的感知调整值。
法术豁免DC＝8＋你的熟练加值＋你的感知调整值
法术攻击调整值＝你的熟练加值＋你的感知调整值</t>
  </si>
  <si>
    <t>额外攻击</t>
  </si>
  <si>
    <t>第5级起，你在自己回合内执行攻击动作时可以发动两次攻击而非一次。
第11级后，你可以攻击三次。
第20级后可以攻击四次。</t>
  </si>
  <si>
    <t>飞檐走壁</t>
  </si>
  <si>
    <t>你在自己回合内，可以消耗1点气，并以一个附赠动作的形式来执行撤离动作或疾走动作，同时使你该回合内的跳跃距离翻倍。</t>
  </si>
  <si>
    <t>你的法术源自你坚定信念产生的力量，因此魅力是你施展圣武士法术的关键属性。
每当你的圣武士法术需要施法关键属性是均指向你的魅力值。
而你圣武士法术的豁免DC和攻击检定，则使用你的魅力调整值。
法术豁免DC＝8＋你的熟练加值＋你的魅力调整值
法术攻击调整值＝你的熟练加值＋你的魅力调整值</t>
  </si>
  <si>
    <t>你从游侠法术列表里选两个1环法术作为自己的已知法术。
“游侠职业表”中“已知法术”一栏记录了你获得更多已知法术时的相应等级。
你只能获取已有相应环阶法术位的法术。
比如，当你达到第5级时，你将获得一个1环或2环法术。
另外，你每提升一个游侠等级，还可以从游侠法术列表里选择一个新法术来代替一个已知法术列表中的旧法术。
但是，你必须拥有新法术的相应环阶法术位。</t>
  </si>
  <si>
    <t>当你达到第4、第8、第10、第12、第16、第19级时，你可以选择一项属性值提升2点，或是选择两项属性各提升1点。
不过你不能通过该特性让属性值超过20。</t>
  </si>
  <si>
    <t>你可以使用奥术法器，作为你施展术士法术时的法器。</t>
  </si>
  <si>
    <t>你的法术来自你专注的研习和记忆，因此智力是你施展法师法术的关键属性。
每当你的法术需要施法关键属性时均指向你的智力值。
而你法师法术的豁免DC和攻击检定，则使用你的智力调整值。
法术豁免DC＝8＋你的熟练加值＋你的智力调整值
法术攻击调整值＝你的熟练加值＋你的智力调整值</t>
  </si>
  <si>
    <t>“奇械师职业表”显示出你有多少能用于施法的法术位。
施展某个奇械师法术时，你必须同时消耗其对应环阶的法术位。
而已消耗的法术位则可以通过完成一次长休进行恢复。
你需要从奇械师法术列表中选择想要准备的法术，你能选择的准备法术总数等于你的智力调整值＋你奇械师职业等级的一半（向下取整）（最少为1）。
你只能准备已经获得相应环阶法术位的法术。
例如，作为一名5级奇械师时，你拥有四枚1环法术位和两枚2环法术位。
假如你的智力为14，则你的准备法术列表可以囊括总共四个1环或2环法术的组合。
如果你准备了1环法术疗伤术，则你可以使用1环或者2环的法术位来施展它。
另外，已施展的法术并不会从你的准备列表中移除。
你可以在完成长休后改变你的准备法术列表，如需准备新的奇械师法术，你需要花时间来调整你的法器：每个法术要花费至少1分钟的时间。</t>
  </si>
  <si>
    <t>第5级起，你在自己回合内执行攻击动作时可以发动两次攻击而非一次。</t>
  </si>
  <si>
    <t>你可以使用乐器作为施展诗人法术的法器。</t>
  </si>
  <si>
    <t>神圣领域</t>
  </si>
  <si>
    <t>你将选择一个与你所信仰神祇的神职相关的神圣领域。
你可以从知识、生命、光明、自然、风暴、诡术或者战争中选择其一。
某些领域其领域法术可能并不在牧师法术列表中，此时如果你选择了该领域，则你视该领域的领域法术为你的牧师法术。</t>
  </si>
  <si>
    <t>如果你所准备德鲁伊法术中的某法术有带仪式标签，则你可以用这些法术进行仪式施法。</t>
  </si>
  <si>
    <t>不屈</t>
  </si>
  <si>
    <t>第9级起，你可以重掷失败的豁免检定。
不过你必须采用重掷的结果。你必须完成一次长休才能再次使用该特性。
第13级起，你可以在两次长休之间使用两次该特性。
第17级起，你可以在两次长休之间使用三次该特性。</t>
  </si>
  <si>
    <t>无甲移动</t>
  </si>
  <si>
    <t>第2级起，当未穿着任何护甲也没持用盾牌时，你的移动速度增加10尺。
该加值将随着武僧职业等级的提升而增加，具体数值见“武僧职业表”中“无甲移动”一栏。
第9级起，你在自己的回合内，可以在垂直平面或水面等地形移动，但移动结束时你必须处在不会坠落的地方。</t>
  </si>
  <si>
    <t>你可用圣徽作为施展你圣武士法术的法器。</t>
  </si>
  <si>
    <t>游侠范型</t>
  </si>
  <si>
    <t>第3级时，你选择学习一种特定的战斗范型。
你可以从猎人或驯兽师中进行选择。
随后，你将在第3，第7，第11、第15级时获得所选范型的相应特性。</t>
  </si>
  <si>
    <t>直觉闪避</t>
  </si>
  <si>
    <t>第5级起，当一个你能看见的敌人攻击命中你时，你可以用反应让此次攻击的伤害减半。</t>
  </si>
  <si>
    <t>术法起源</t>
  </si>
  <si>
    <t>选择一个术法起源作为你天赋魔力的源泉。
你可在龙族血脉或狂野魔法中选择其一。
随后，你将在第1、第6、第14、第18级获得相应起源的职业特性。</t>
  </si>
  <si>
    <t>魔能祈唤</t>
  </si>
  <si>
    <t>如果你法术书记录了带有仪式标签的法术，则你可以用这些法术进行仪式施法。
进行仪式施法时，你不需要准备相应的法术。</t>
  </si>
  <si>
    <t>你对魔法理论的理解使你能够以更高超的技法来使用这些法术，因此智力是你的施法关键属性。
每当你的法术需要施法关键属性时均指向你的智力值。
而你奇械师法术的豁免DC和攻击检定，也使用你的智力调整值。
法术豁免DC＝8＋你的熟练加值＋你的智力调整值
法术攻击调整值＝你的熟练加值＋你的智力调整值</t>
  </si>
  <si>
    <t>快速移动</t>
  </si>
  <si>
    <t>第5级起，你在未着装重甲时速度提升10尺。</t>
  </si>
  <si>
    <t>诗人激励</t>
  </si>
  <si>
    <t>领域法术</t>
  </si>
  <si>
    <t>每个领域都有其相应的领域法术列表。
当你获得表中所对应的牧师等级时，你将同时习得这些法术。
领域法术一旦习得，将会一直在你的准备法术列表中，且不计入你的每日准备法术上限。
任何领域法术对你而言都是牧师法术，而不论其是否在牧师法术列表之上。</t>
  </si>
  <si>
    <t>你可以用德鲁伊法器作为你施展德鲁伊法术的法器。</t>
  </si>
  <si>
    <t>精通重击</t>
  </si>
  <si>
    <t>从你第3级选择此范型起，你的武器攻击在掷出19或20时即可造成重击。</t>
  </si>
  <si>
    <t>宗派</t>
  </si>
  <si>
    <t>第3级时，你选择投入一个宗派精进你的技艺。
你可以从散打宗、暗影宗、四象宗中选择其一。
随后，你的将在第3、第6、第11、第17级时获得相应宗派的特性传承。</t>
  </si>
  <si>
    <t>至圣斩</t>
  </si>
  <si>
    <t>第2级起，你使用近战武器攻击命中一个生物时，可以消耗一枚法术位，并对目标造成除武器伤害外附加的光耀伤害。
额外伤害的数值为1环法术位时的2d8，以及更高法术位时每比1环高一环就外加1d8，其最高值为5d8。
如果目标是不死生物或邪魔，则该伤害将再额外增加1d8，至高提升至6d8。</t>
  </si>
  <si>
    <t>原初意识</t>
  </si>
  <si>
    <t>第3级起，你可以消耗一枚游侠法术位，并用动作将你的意识集中在身处的区域，感测1里内是否存在以下类型生物（在偏爱地形中时，扩展至6里）：异怪、天界生物、龙、精类生物、邪魔、元素生物和不死生物。
所消耗法术位每提高一环阶感测效果持续时间就多加1分钟。
另外，该特性并不会知晓生物的位置或数量。</t>
  </si>
  <si>
    <t>反射闪避</t>
  </si>
  <si>
    <t>第7级起，你可以灵巧躲过某些特定的区域效应，比如红龙的火焰吐息或是法术冰风暴。
你在成为某一范围效应影响对象时，若该效应允许你通过成功的敏捷豁免来使伤害减半，则你在该豁免成功时不受伤害，而豁免失败时只受一半伤害。</t>
  </si>
  <si>
    <t>魔力泉涌</t>
  </si>
  <si>
    <t>第2级时，你解除了体内魔力之源的封印，从中涌现的魔力体现为你的可用术法点。
你可以使用术法点创造各种魔法效应。</t>
  </si>
  <si>
    <t>魔契恩泽</t>
  </si>
  <si>
    <t>第3级时，你的宗主赋予你一份馈赠作为你忠诚服务的回馈。
你可以从下列特性中自选其一。
每种魔契恩泽都呈现为一种独特的生物或物品，并反应出你的宗主的本质。
链之魔契:你的魔宠比普通的魔宠更加机敏。
其默认形态是你的宗主的侧面体现，如至高妖精宗主的是小妖精和伪龙，邪魔宗主则是小魔鬼和夸赛魔。
因为旧日支配者不可名状的本质，任何形态的魔宠都适合它。
刃之魔契:如果你的宗主是至高妖精，那么你的武器可能是一把被藤蔓所缠绕的细长剑刃。
如果你的宗主是邪魔，你的武器则可能是一柄由黑金属铸成并雕以火焰纹饰的斧头。
如果你的宗主是旧日支配者，那么你的武器可能是一把样式古朴的长矛，一颗精心雕琢过的宝石镶嵌在矛头上，如同一只可怖的不瞑之目。
书之魔契:你那由高贵的至高妖精宗主所赐予的影之书可能是一本记载着附魔系和幻术系法术的精装镀金边书册。
你的邪魔宗主可能赐予你一本革质封皮附铁扣的沉重书册，其中记载着咒法系法术和大量的禁忌知识、以及宇宙之中的秽邪之地。
你的旧日支配者宗主可能会赐予你一本因接触它而疯狂者的破旧日记，其中记载着几个只有你自己癫狂的思维才能理解并施展的法术。</t>
  </si>
  <si>
    <t>你可以使用奥术法器来作为施展法师法术的法器。</t>
  </si>
  <si>
    <t>如果你准备了带有仪式标签的法术，则你可以用这些法术进行仪式施法。</t>
  </si>
  <si>
    <t>野性直觉</t>
  </si>
  <si>
    <t>万事通</t>
  </si>
  <si>
    <t>第2级起，在你进行属性检定时，如果检定结果不包含你的熟练加值，则你可以将自身熟练加值的一半（向下取整）加入到检定结果中。</t>
  </si>
  <si>
    <t>引导神力</t>
  </si>
  <si>
    <t>第2级时，你获得引导神祇所授予神圣能量的能力，所引导的能量将用以实现各种魔法效应。
你最初将获得两种效应：驱散不死生物和另一个与你所选领域相关的效应。
随着你在冒险中提升等级，某些领域会赋予更多额外的效应，具体信息可以参考相应领域的描述内容。
引导神力最终产生的效应由你自行选择。
引导神力后，你必须完成一次短休或长休才能重新使用该特性。
某些引导神力的效应需要豁免，其豁免DC等于你的牧师法术豁免DC。
第6级起，你可以在两次休息之间使用两次引导神力，第18级后可以使用三次。
完成一次短休或长休后，你将重新获得所有消耗掉的引导神力次数。</t>
  </si>
  <si>
    <t>荒野形态</t>
  </si>
  <si>
    <t>第2级起，你可以用动作以魔力变化为曾见识过的野兽形态。
该特性可以使用两次，且在完成一次短休或长休后，你将重新获得所有消耗掉的荒野形态次数。
你的德鲁伊职业等级决定了你可以变化的野兽种类，你可以变化成任意没有飞行或游泳速度且挑战等级为1/4或更低的野兽形态。
你可以在数个小时里保持着野兽形态，其持续时间具体数值等于你的德鲁伊职业等级的一半（向下取整）。你可以在持续时间过后恢复原形，或者你也可以再次使用此特性来维持变形。另外，你也可以在你的回合内用一个附赠动作来恢复原形。在你陷入昏迷、生命值为0或者死亡的时候，变形将自动解除。
你变形时必须遵从以下规则：
你的属性数据替换为新形态的数值，但你仍保持你的阵营、个性，以及智力值、感知值、魅力值。你保留技能与豁免的熟练项，并且获得新形态的技能和豁免熟练项。如果新形态的熟练项与你相同且熟练加值较高，则使用新形态的熟练加值。你不能使用新形态可能拥有的传奇动作或巢穴动作。
变形后，你使用新形态的生命值和生命骰。变回原形时，你的生命值恢复变形之前的数值。而任何让你的生命值降至0的伤害，都可以使你变回原形并承受该伤害的溢出伤害量。例如，你在动物形态下受到了10点伤害而你只剩1点生命值，则你变回原形并受到9点伤害。只要超过的伤害没有将你原形的生命值降至0，你就不会因此陷入昏迷。
你不能施法，并且任何说话或者需要用手的动作，在你处于野兽形态时都将受到限制。变形不会打断你正在专注的法术，也不会妨碍你执行作为已施展法术（例如召雷术call lightning）一部分的某些动作。
你保持从职业、种族或其它来源特性的收益，并且可以在新形态身体能力允许下使用这些特性。不过，你无法使用任何原有的特殊感官（例如黑暗视觉），除非你的新形态也具有这种感官。
变形时，你可以选择将你的装备丢在所处空间，或者将其融入新形态，又或者直接着装在身上。新形态直接着装的装备可以如常起作用，但DM有权基于新形态的体型和身姿作出判断，并最终决定新形态使用该装备是否合理。装备不会改变大小来适应新形态，新形态无法着装某装备时，该装备会掉落你所处空间或融入新形态中。融入新形态的装备失去其效应，且在你变回原形时才能恢复。</t>
  </si>
  <si>
    <t>第7级起，你可以将一半的熟练加值（向上取整）加在你不包含熟练加值的任何力量、敏捷或体质检定上。
另外，当你助跑跳远时，你能跳出的距离增加等同于你力量调整值的尺数。</t>
  </si>
  <si>
    <t>拨挡飞弹</t>
  </si>
  <si>
    <t>第3级起，你可以用你的反应拨挡或抓取一个击中你的远程武器攻击。
使用本特性后，该次攻击的伤害将被削弱，其减数值等于1d10＋你的敏捷调整值＋你的武僧职业等级。
当被拨挡攻击的伤害减少至0，且实施伤害的飞弹可以被你单手抓住时，你可以用此时空闲的手去抓取该飞弹。
此时你可以消耗1点气以该“飞弹”进行一次远程攻击，而该攻击将视为本次反应的一部分。
无论你是否具有被拨挡武器的熟练项，本次攻击中你都视为进行具有熟练项的攻击，所使用的飞弹也视为武僧武器，其射程为20/60尺。</t>
  </si>
  <si>
    <t>神佑</t>
  </si>
  <si>
    <t>第3级起，你体内涌动的神圣魔法使你免疫疾病。</t>
  </si>
  <si>
    <t>当你达到第4、第8、第12、第16、第19级时，你可以选择一项属性值提升2点，或是选择两项属性各提升1点。
不过你不能通过该特性让属性值超过20。</t>
  </si>
  <si>
    <t>可靠才能</t>
  </si>
  <si>
    <t>第11级起，你自身技能经过精炼而更趋于完美。
每当你进行的属性检定可以使用熟练加值时，你可以将d20骰中9或以下的结果都视为10。</t>
  </si>
  <si>
    <t>术法点</t>
  </si>
  <si>
    <t>开始时，你拥有2个术法点。
此后你每提升一个术士等级，都会获得更多的术法点，详见“术士职业表”中“术法点”一栏。
你的术法点永远不能超过表中所列对应你当前等级的数值。
而已消耗的术法点则可以通过完成一次长休进行恢复。</t>
  </si>
  <si>
    <t>链之魔契</t>
  </si>
  <si>
    <t>你习得法术获得魔宠，并可以把它作为一个仪式施展。
此法术不计入你的已知法术数量。
施展该法术时，你可以选择召唤一个普通的生物，或是下列特殊生物之一：小魔鬼、伪龙、夸赛魔、或小妖精。
此外，当你执行攻击动作时可以放弃所有攻击中的一次攻击，转而让你的魔宠使用其反应发动一次攻击。</t>
  </si>
  <si>
    <t>学习法术</t>
  </si>
  <si>
    <t>你每提升一个法师等级，可以将两项自选的法师法术加入你的法术书中。
但是，你只能加入已经获得相应环阶法术位的法术。
你在冒险过程中所发现的法术也可以加入到法术书中。</t>
  </si>
  <si>
    <t>物品注法</t>
  </si>
  <si>
    <t>在第2级，你获得为普通物品注入魔法的能力。
使用此特性创造的魔法物品是永久性魔法物品的原型。</t>
  </si>
  <si>
    <t>凶蛮重击</t>
  </si>
  <si>
    <t>第9级起，计算近战攻击的重击伤害时，你可以额外骰一个所用武器的伤害骰。
第13级时，你可以额外骰两个；第17级时，你可以额外骰三个。</t>
  </si>
  <si>
    <t>休憩曲</t>
  </si>
  <si>
    <t>引导神力：驱散不死生物</t>
  </si>
  <si>
    <t>你以一个动作展示你的圣徽，并说出一段谴责不死生物的祷言。
你身边30尺范围内能够看到圣徽或听到你祷言的不死生物必须进行一次感知豁免，豁免失败则受到驱散，其效应持续1分钟或直到其受到任何伤害。
一个被驱散的生物必须花费其回合内的所有速度尽力远离你，而且无法主动靠近你30尺内。
被驱散的生物无法使用反应，只能使用既有的疾走Dash动作或从任何妨碍他们移动的效应中挣脱。
该生物无路可走时会使用“回避”动作。</t>
  </si>
  <si>
    <t>德鲁伊结社</t>
  </si>
  <si>
    <t>第2级时，你将选择参与一个德鲁伊结社。
你可以从大地结社或月亮结社中选择其一。
随后，你将在第2、第6、第10、第14级时获得所选结社相应的特性。</t>
  </si>
  <si>
    <t>额外战斗风格</t>
  </si>
  <si>
    <t>第10级时，你可以额外选择一个战斗风格。</t>
  </si>
  <si>
    <t>当你达到第4，第8，第12，第16、第19级时，你可以选择一项属性值提升2点，或是选择两项属性各提升1点。
不过你不能通过该特性让属性值超过20。</t>
  </si>
  <si>
    <t>神圣誓言</t>
  </si>
  <si>
    <t>第3级起，你将立下神圣誓言，并永远与你的圣武士身份同在。
你在此之前的圣武士修行被认为仅仅是接受了一条道路而尚未立誓遵从，你之前所躬行的行为都是为此刻作准备。
神圣誓言包括奉献之誓、古贤之誓、复仇之誓等，你可从中选择其一。
随后，你将在第3，第7，第15和第20级获得所选圣誓的相应特性。</t>
  </si>
  <si>
    <t>听声辨位</t>
  </si>
  <si>
    <t>第14级起，只要能听到声音，你就可以定位身边10尺内躲藏或隐形的生物。</t>
  </si>
  <si>
    <t>灵活施法</t>
  </si>
  <si>
    <t>你可以使用术法点来获得额外的法术位，或是消耗法术位来换取额外的术法点。
随着术士等级的提升，你还可以学会其他术法点的使用方法。</t>
  </si>
  <si>
    <t>刃之魔契</t>
  </si>
  <si>
    <t>你可以用一个动作从空着的手中创造一把契约武器。
你每次创造契约武器时都可以从近战武器列表中选择它的形态。
当你使用该武器时，将视为拥有该武器的熟练项。
在攻击对非魔法攻击或伤害具有抗性或免疫的目标时，该武器将视为魔法武器。
你的契约武器在离你5尺外的区域停留超过1分钟或更长时间，其将自然消失。
当你再次创造契约武器、解散契约武器（无需动作）或是死亡的情况下，契约武器也会消失不见。
你可以通过一个特殊的仪式把持有的魔法武器变为你的契约武器。
该仪式花费1小时，并且可以在短休时进行。
仪式完成后，你随时可以解散该武器，以将其转移到一个异次元空间之中。
而每当你再次创造契约武器时再将它召唤出来。
该仪式无法对神器或智能武器起作用。
如果你死亡；或是花费1小时对另外一把武器举行了仪式；或是你通过1小时的仪式打破该契约，则该武器便不再是你的契约武器。
如果在它处于异次元空间时你打破契约，那么该武器将会出现在你的脚边。</t>
  </si>
  <si>
    <t>奥术回想</t>
  </si>
  <si>
    <t>你学会了通过研读法术书来恢复魔法能量的办法。
你可以每日使用一次奥术回想，以在你完成一次短休后恢复若干已消耗的法术位，所恢复的法术位环阶总和不得大于你法师等级的一半（向上取整），且任何一枚法术位的环阶都必须小于6环。
例如，作为一名4级法师时，你可恢复环阶总数最多为2的法术位。
你可以选择恢复一枚2环法术位或两枚1环法术位。</t>
  </si>
  <si>
    <t>已知注法</t>
  </si>
  <si>
    <t>当你获得这个特性时，从职业描述末尾的“奇械师注法”列表中选择选择四个奇械师注法习得。
当你提升奇械师等级时，还能够根据“奇械师职业表”习得更多注法。
当你提升一个奇械师等级时，你能够习得一个新的奇械师注法来来替换一个原有的已知注法。</t>
  </si>
  <si>
    <t>坚韧狂暴</t>
  </si>
  <si>
    <t>吟游诗人学院</t>
  </si>
  <si>
    <t>第3级时，你将选择加入一个吟游诗人的学院协会，以探寻更精深的技艺。
你可以从逸闻学院或勇气学院中选择其一。
随后，你将在第3、第6和第14级时获得相应的职业特性。</t>
  </si>
  <si>
    <t>当你达到第4、8、12、16、19级时，你可以选择一项属性值提升2点，或选择两项属性各提升1点。
不过你不能通过该特性让属性超过20。</t>
  </si>
  <si>
    <t>高效重击</t>
  </si>
  <si>
    <t>第15级起，你的武器攻击掷出18~20时即可造成重击。</t>
  </si>
  <si>
    <t>轻身坠</t>
  </si>
  <si>
    <t>第4级起，当你要承受坠地伤害时，你可以使用反应将伤害减少等同于五倍武僧职业等级的数值。</t>
  </si>
  <si>
    <t>圣誓法术</t>
  </si>
  <si>
    <t>每种誓言都有其相应的圣誓法术列表。
当你达到表中所示的圣武士等级时，你将同时获得其对应的圣誓法术。
圣誓法术一旦获得，将会一直在你的准备法术列表中，且不计入你的每日准备法术上限。
任何圣誓法术对你而言都是圣武士法术，而不论其是否在圣武士法术列表之上。</t>
  </si>
  <si>
    <t>大地行者</t>
  </si>
  <si>
    <t>第8级起，你穿过非魔法的困难地形时不会消耗额外移动力。
你穿过非魔法的植物时不会消耗额外移动力，且这类植物的荆棘、毛刺或类似的危害物也无法对你造成伤害。
另外，在抵抗魔法制造或控制的植物造成的移动障碍效应时（例如纠缠术），你的豁免检定具有优势。</t>
  </si>
  <si>
    <t>圆滑心智</t>
  </si>
  <si>
    <t>第15级起，你的心理素质获得了大大的加强，并因此获得感知豁免的熟练项。</t>
  </si>
  <si>
    <t>生成法术位</t>
  </si>
  <si>
    <t>你可以在自己回合内以附赠动作将未使用的术法点转换为法术位。
表格“生成法术位”中列出了生成各法术位所需的术法点数。
另外，你无法生成高于5环的法术位。
以此方式生成的法术位将在完成一次长休后消散。
法术位环阶——术法点消耗
1环——————2
2环——————3
3环——————5
4环——————6
5环——————7</t>
  </si>
  <si>
    <t>书之魔契</t>
  </si>
  <si>
    <t>奥术传承</t>
  </si>
  <si>
    <t>第2级时，你选择一种奥术传承以使你的训练专注于八个学派之一。
从防护、咒法、预言、附魔、塑能、幻术、死灵、变化各学派中选择其一。
随后，你将在第2、第6、第10、第14级时获得所选学派相应的特性。</t>
  </si>
  <si>
    <t>为物品进行注法</t>
  </si>
  <si>
    <t>每当你完成一个长休后，你可以触摸一个非魔法的物体，使用奇械师注法来把它变成一个魔法物品。
注法只能作用于注法描述中写明的指定类型物品。
如果该物品需要调谐，你可以在为物品进行注法的那一刻调谐到它，或者你可以放弃调谐，以便其他人能够调谐到该物品。
如果你决定以后与这个物品进行调谐，你必须进行通常的调谐程序（参见《地下城主指南》第136页中的“调谐”）。
你的注法持续时间无限，但当你死亡时，注法会在你智力调整值的天数后消失（至少1天）。
如果你将某个注法从已知中替换掉，该注法的效果也将消失。
你能在一次长休后为复数物品进行注法；注法物品的最大数量请参见“奇械师职业表”。
你必须触摸每一个物体，且一种注法在同一时间内只能存在于一个物品上，而一个物品也无法进行复数次注法。
如果你试图超过你的最大注法量，则最旧的注法立即结束，然后新的注法适用。
如果注法结束时，该物品中包含有其他物品，例如是一个次元袋，其中的物品将无害地出现在它周围的空间中。</t>
  </si>
  <si>
    <t>持久狂暴</t>
  </si>
  <si>
    <t>第15级起，你狂暴时的情绪高涨得难以抑制，以至于只有当你昏迷或是主动终止狂暴时才能使之提前结束。</t>
  </si>
  <si>
    <t>摧毁不死生物</t>
  </si>
  <si>
    <t>不朽身</t>
  </si>
  <si>
    <t>第18级起，你行使的原初荒野魔力让你的衰老速度减缓。
每经过10年的岁月，你的身体就仿佛只过了1年。</t>
  </si>
  <si>
    <t>生还者</t>
  </si>
  <si>
    <t>第18级时，你持续战斗的能力达到巅峰。
你每回合开始时如果生命值不到上限的一半，则你恢复一部分生命值，其数值等于5＋你的体质调整值。
你生命值为0时不能以此获益。</t>
  </si>
  <si>
    <t>你的誓言使你获得引导神祇所授神圣能量的能力，引导的能量将用以实现各种魔法效应。
誓言赋予的相应效应，可以参考相关誓言的描述内容。
引导神力时，神力最终产生的效应由你自行选择。
引导神力后，你必须完成一次短休或长休才能再次使用该特性。
某些引导神力的效应需要豁免，其豁免DC等于你的圣武士法术豁免DC。</t>
  </si>
  <si>
    <t>第10级起，你可以花1分钟来为自己制作伪裝。
你必须能取用新鲜的泥土、植物、煤烟等天然物料进行制作。
伪装完成后，你可以将自己贴上至少跟自己等高等阔的实体表面（如树干或墙壁）并尝试躲藏。
如果你留在原地不移动且不执行动作，则你的敏捷（隐匿）检定获得+10加值。一旦移动、执行动作或执行反应，你都必须重新伪装以重获该增益。</t>
  </si>
  <si>
    <t>飘忽不定</t>
  </si>
  <si>
    <t>第18级起，你飘忽不定的身形让敌人攻击时无从下手。
除非你处于失能状态，否则以你为目标的攻击检定无法取得优势。</t>
  </si>
  <si>
    <t>法术位转换术法点</t>
  </si>
  <si>
    <t>你可以在自己回合内使用附赠动作将未使用的法术位转化为术法点。
你消耗一枚法术位并获得等于该法术位环阶的术法点。
所有你以该特性生成的法术位，在你完成一次长休后也将随之消失。</t>
  </si>
  <si>
    <t>奇械师专业</t>
  </si>
  <si>
    <t>在第3级，你选择自己将成为哪方面的专家：炼金师、魔炮师或战地匠师，这三个专业会在职业描述的最后进行说明。
你的选择将决定你在3级、5级、9级和15级获得的特性。</t>
  </si>
  <si>
    <t>不屈勇武</t>
  </si>
  <si>
    <t>第18级起，你进行力量检定的总值低于你的力量值时，可以直接使用力量值作为检定结果。</t>
  </si>
  <si>
    <t>当你达到第4、8、12、16、19级时，你可以选择一项属性值提升2点，或选择两项属性各提升1点。
不过你不能通过此特性让属性超过20。</t>
  </si>
  <si>
    <t>野兽施法</t>
  </si>
  <si>
    <t>第18级起，你在荒野变形状态下可以施展大部分的德鲁伊法术。
在野兽形态时，你可以完成德鲁伊法术的姿势与语言成分，但无法完成其材料成分的使用。</t>
  </si>
  <si>
    <t>卓越战技</t>
  </si>
  <si>
    <t>在你选择此范型的第3级时，你习得战技并获得驱动战技的卓越骰。
战技：你习得三种自选战技，详见后文。
战技强化了你的攻击。而你在每次攻击时只能应用一种战技。
你在第7，第10和第15级时均习得两种新战技。
习得新战技时，你还可以额外替换一个已经习得的战技。
卓越骰：你拥有四个d8卓越骰。
卓越骰一经使用即消耗，完成短休或长休后恢复。
你的卓越骰在第7和第15级时各增加一粒。
豁免：某些战技需要目标进行豁免检定作抵抗。
战技的豁免DC为：
豁免DC＝8＋你的熟练加值＋你的力量或敏捷调整值（自选）</t>
  </si>
  <si>
    <t>震慑拳</t>
  </si>
  <si>
    <t>第5级起，你能够阻碍敌人体内的气的流动。
你的近战武器攻击命中时，可以消耗1点气尝试发动震慑拳。
被命中目标必须进行一次体质豁免，豁免失败则受到震慑，并持续至你的下一回合结束。</t>
  </si>
  <si>
    <t>无踪步</t>
  </si>
  <si>
    <t>第14级起，你可以在自己回合以一个附赠动作的形式执行躲藏动作。
此时，你无法被非魔法手段追踪到，除非你主动留下踪迹。</t>
  </si>
  <si>
    <t>幸运一击</t>
  </si>
  <si>
    <t>第20级时，你掌握了一手非凡技巧，让你可以随时把握自己的成功之时。
当你的攻击未命中时，可以直接更改判定为命中。
或者，当你的属性检定失败时，可以直接将d20骰的结果视为20。
你必须完成一次短休或长休后才能再次使用该特性。</t>
  </si>
  <si>
    <t>超魔法</t>
  </si>
  <si>
    <t>第3级起，你可以扭曲所施展的法术使其符合你的需求。
从下述超魔法选项中选择其二。随后你将在第10和第17级分别再获得其一。
除非特别说明，否则对一个法术只能应用一种超魔法项。</t>
  </si>
  <si>
    <t>玄奥秘法</t>
  </si>
  <si>
    <t>法术精通</t>
  </si>
  <si>
    <t>第18级时，你对特定的法术精熟于心，甚至可以随意施展这些法术。
选择你法术书中的一项1环法师法术和一项2环法师法术，此后只要你准备了它们，就可以随意施展其最低环阶版本，且无需消耗法术位。
你也可以消耗法术位来施展其更高环阶版本。
通过8小时的研习，你可以将这两项法术中的任一项替换为同环阶的其他法术。</t>
  </si>
  <si>
    <t>称手工具</t>
  </si>
  <si>
    <t>在第3级，你将学习如何精确地制作你所需要的工具：使用盗贼工具或工匠工具，你可以在离你5英尺内的未占据空间中魔法性地制作出一套工匠工具。
这一制造需要1小时不间断的工作，可以在短休或长休的过程中进行。
这套工具是魔法的产物，但其本身是非魔法的，当你再次使用此特性时，之前制造的工具就会消失。</t>
  </si>
  <si>
    <t>原初斗士</t>
  </si>
  <si>
    <t>激励之源</t>
  </si>
  <si>
    <t>第5级起，你可以在完成短休或长休后恢复你已消耗的诗人激励次数。</t>
  </si>
  <si>
    <t>知识领域法术</t>
  </si>
  <si>
    <t>牧师等级——法术
1st——命令术、鉴定术
3rd——卜筮术、暗示术
5th——回避侦测、死者交谈
7th——秘法眼、困惑术
9th——通晓传奇、探知</t>
  </si>
  <si>
    <t>大德鲁伊</t>
  </si>
  <si>
    <t>第20级时，你可以无限次的使用荒野变形。
另外，你还可以将德鲁伊法术中的姿势和语言成分，以及非无价值且不被法术消耗的材料成分忽略。
你在原形态和荒野形态下都可以从此特性获益。</t>
  </si>
  <si>
    <t>战争学徒</t>
  </si>
  <si>
    <t>第3级时，你选择一种工匠工具并获得其熟练项。</t>
  </si>
  <si>
    <t>真气驻拳</t>
  </si>
  <si>
    <t>第6级起，攻击对非魔法攻击或伤害具有抗性或免疫的目标时，你的徒手打击视为魔法攻击。</t>
  </si>
  <si>
    <t>第5级起，你在自己回合内执行攻击动作时可以攻击两次而非一次。</t>
  </si>
  <si>
    <t>野性感官</t>
  </si>
  <si>
    <t>第18级时，你获得超自然的感官以帮助你对抗看不到的生物。
此后，你攻击一个看不到的生物时不会因此承受劣势。
另外，你还能感测30尺内所有隐形敌人的位置，前提是该生物并没有针对你进行躲藏，而你也没有陷入目盲或耳聋。</t>
  </si>
  <si>
    <t>快手</t>
  </si>
  <si>
    <t>第3级起，你可以使用从“灵巧动作”特性中得到的附赠动作来进行一次敏捷（巧手）检定，或是以该附赠动作使用盗贼工具来解除陷阱、撬锁，或执行“使用物件”动作。</t>
  </si>
  <si>
    <t>施展一个让其他生物进行豁免的法术时，你可以让其中一些生物免受法术的全额威力。
实现该效应需要你使用1术法点，并指定一定数量的目标生物，其最大数量等于你的魅力调整值（至少为1）。
而被指定的生物将直接成功通过法术的豁免检定。</t>
  </si>
  <si>
    <t>魔能掌控</t>
  </si>
  <si>
    <t>第20级时，你可以利用储备的魔力祈求你的宗主为你恢复已消耗的法术位。
你可以花1分钟祈求宗主的帮助，恢复所有你已消耗的契约魔法法术位。
使用该特性恢复法术位后，你必须完成一次长休才能再次使用该特性。</t>
  </si>
  <si>
    <t>招牌法术</t>
  </si>
  <si>
    <t>第20级时，你精通两个强大的法术，甚至可以用更低的成本施展这些法术。
选择你的法术书中的两个3环法师法术，作为你的招牌法术。
此后这两个法术将永远视为已准备法术，且不计入你的准备法术数量之中。
你可以施展这两个法术的3环版本各一次，且无需消耗法术位。
招牌法术使用后，需要完成一次短休或长休才能再次使用。
你也可以消耗法术位施展这两个法术的更高环阶版本。</t>
  </si>
  <si>
    <t>狂怒</t>
  </si>
  <si>
    <t>反迷惑</t>
  </si>
  <si>
    <t>知识祝福</t>
  </si>
  <si>
    <t>附赠戏法</t>
  </si>
  <si>
    <t>在第2级选择该结社时，你学会一个额外的德鲁伊戏法。</t>
  </si>
  <si>
    <t>知己知彼</t>
  </si>
  <si>
    <t>第7级起，你在战斗外观察某生物或与之交互至少1分钟后，可以获知有关其能力的一些情报。
从下列选项中选择其二，DM将告诉你在这两项上你是强于该生物，弱于该生物，或是与之相仿。
力量值
敏捷值
体质值
护甲等级
当前生命值
总职业等级（如果有）
战士职业等级（如果有）</t>
  </si>
  <si>
    <t>第7级起，你敏锐的直觉让你可以躲过某些特定的区域效应，比如蓝龙的闪电吐息或是法术火球术。
你在成为某一范围效应影响对象时，若该效应允许你通过成功的敏捷豁免来使伤害减半，则你在该豁免成功时不受伤害，而豁免失败时只受一半伤害。</t>
  </si>
  <si>
    <t>守护灵光</t>
  </si>
  <si>
    <t>第6级起，你与友方生物在你身边10尺内进行豁免检定时，可以将你的魅力调整值作为加值加在其豁免结果上（至少为 +1）。
提供该加值时你必须保持意识清醒。
第18级起，该灵光的作用范围扩展至30尺。</t>
  </si>
  <si>
    <t>屠灭众敌</t>
  </si>
  <si>
    <t>第20级时，你成为了猎杀敌人的无双猎手。
你在自己的每个回合内，都有一次机会将你的感知调整值加到你对宿敌进行的攻击检定或伤害掷骰上。
你可以在掷骰之前或者之后决定使用该特性，但必须在该掷骰的相关效应被应用之前。</t>
  </si>
  <si>
    <t>梁上君子</t>
  </si>
  <si>
    <t>第3级选择此范型起，你获得比通常情况更快的攀爬速度，从而使攀爬不再消耗额外的移动力。
此外，当你做一个有助跑的跳远时，跳远距离增加一定的尺数，其数值等于你的敏捷调整值。</t>
  </si>
  <si>
    <t>施展一个施法距离不小于5尺的法术时，你可以使用1术法点使该法术的施法距离翻倍。
施展一个施法距离为触及的法术时，你可以使用1术法点将法术的施法距离改为30尺。</t>
  </si>
  <si>
    <t>防护学者</t>
  </si>
  <si>
    <t>从第2级你选择该学派起，你向法术书中抄写防护系法术的时间和金钱花费减半。</t>
  </si>
  <si>
    <t>工具专精</t>
  </si>
  <si>
    <t>从第6级起，你在使用你熟练的工具时，能够使用双倍的熟练加值。</t>
  </si>
  <si>
    <t>无我狂暴</t>
  </si>
  <si>
    <t>第6级起，你在狂暴中不会被魅惑或恐慌。
如果你开始狂暴时已经陷入魅惑或恐慌，则该效应在你狂暴期间被压制。</t>
  </si>
  <si>
    <t>魔法奥秘</t>
  </si>
  <si>
    <t>引导神力：岁月知识</t>
  </si>
  <si>
    <t>第2级起，你可以用引导神力特性接入神圣的知识之井。
作为一个动作，你可以选定一个技能或工具，并在接下来的10分钟内视为拥有其熟练项。</t>
  </si>
  <si>
    <t>自然恢复</t>
  </si>
  <si>
    <t>第2级起，你可以通过静坐冥想与自然建立交流，并以此恢复部分魔法能量。
完成一次短休后，你可以选择恢复部分已使用的法术位。
所恢复法术位环阶的总和等于你德鲁伊职业等级的一半（向下取整），且不能是6环或更高环阶。
你在完成一次长休后才能再次使用该特性。
例如，作为一名4级德鲁伊时，你可恢复环阶总数为二的法术位。
你可以选择恢复一枚2环法术位或者两枚1环法术位。</t>
  </si>
  <si>
    <t>精通卓越战技</t>
  </si>
  <si>
    <t>第10级时，你的卓越骰变为d10。
第18级时，你的卓越骰变为d12。</t>
  </si>
  <si>
    <t>心如止水</t>
  </si>
  <si>
    <t>第7级起，你可以用你的动作结束一个正影响你的魅惑或恐慌状态。</t>
  </si>
  <si>
    <t>勇气灵光</t>
  </si>
  <si>
    <t>第10级起，你与友方生物在你身边10尺内不会陷入恐慌。
提供该增益时你必须保持意识清醒。
第18级起，该灵光的作用范围扩展至30尺。</t>
  </si>
  <si>
    <t>猎物</t>
  </si>
  <si>
    <t>第3级时，你选择获得以下特性之一。
巨像屠夫：你强而有力的攻击可以击倒最强壮的对手。
当你用武器攻击命中敌人时，如果该敌人当前生命值低于其上限，则其额外受到1d8点伤害。
你每回合只能造成一次这种额外伤害。
巨人杀手：一个距离你5尺内的大型或更大体型生物对你发动攻击时，无论该次攻击是否命中，只要你能看见它就可以在该攻击结束后用一个反应对该生物发动攻击。
灭族者：进行武器攻击时，你可以用该武器对位于目标5尺内，且在你武器射程内的另一生物发动一次攻击。
你在每个自己的回合里只能造成一次这种额外攻击。</t>
  </si>
  <si>
    <t>极效潜行</t>
  </si>
  <si>
    <t>第9级起，当回合内移动距离不超过自身速度一半时，你的敏捷（隐匿）检定将获得优势。</t>
  </si>
  <si>
    <t>为法术进行伤害掷骰时，你可以使用1术法点重掷其中一定数量的骰子。
重掷骰子的最大数等于你的魅力调整值（至少为1），且你必须接受新的结果。
强效法术超魔可以与其他超魔法选项合用。</t>
  </si>
  <si>
    <t>奥术守御</t>
  </si>
  <si>
    <t>第2级起，你可以编织身边的魔法用作防护。
你施展一道1环或更高环阶的防护系法术时，可以用该法术的一丝魔力创造一个保护自己的魔法结界，该结界将持续至你完成一次长休。
结界的生命值等于你法师等级的两倍＋你的智力调整值。
每当你受伤害时，该结界都会替你承受伤害。
如果伤害使结界的生命值降至0，则你将承受剩余的伤害。
奥术守御的生命值降至0时不再吸收伤害，但其魔法仍然存在。
你每次施展1环或更高环阶防护系法术时，结界都能以此恢复两倍于该法术环阶数量的生命值。
创造奥术守御后，你必须完成一次长休才能再次创造新的奥术守御。</t>
  </si>
  <si>
    <t>灵光一闪</t>
  </si>
  <si>
    <t>从第7级起，你获得了在压力下想出解决方案的能力。
当你或距离你30英尺内的可见生物进行属性检定或豁免检定时，你能以一个反应将你的智力调整值添加到此次检定中。
你能使用此能力的次数等于你的智力调整值（最少1次）。
在你完成一次长休后，将恢复所有可用次数。</t>
  </si>
  <si>
    <t>威慑之姿</t>
  </si>
  <si>
    <t>先发激励</t>
  </si>
  <si>
    <t>第20级起，你骰先攻时若没有可用的诗人激励次数，则你获得一次使用次数。</t>
  </si>
  <si>
    <t>引导神力：读心</t>
  </si>
  <si>
    <t>结社法术</t>
  </si>
  <si>
    <t>你跟大地之间的神秘链接让你可以施展特别的法术。
在第3、第5、第7、第9级时，你根据成为德鲁伊时的所在地获得相应的结社法术。
选择一个地形：极地、海岸、荒漠、森林、草原、山地、沼泽，并依此获得相应的法术。
结社法术一旦获得，将会一直在你的已准备法术列表中，且不计入你的每日准备法术上限。
任何结社法术对你而言都是德鲁伊法术，而不论其是否在德鲁伊法术列表之上。</t>
  </si>
  <si>
    <t>坚韧</t>
  </si>
  <si>
    <t>第15级起，你骰先攻时若没可用的卓越骰，则你获得1枚卓越骰。</t>
  </si>
  <si>
    <t>百病不侵</t>
  </si>
  <si>
    <t>第10级起，你浑身的气流动使你免疫疾病和毒素。</t>
  </si>
  <si>
    <t>精通至圣斩</t>
  </si>
  <si>
    <t>第11级起，你体内充盈的公正之力使你的近战武器打击中携带着神圣的力量。
当你使用近战武器命中一个生物时，该生物将额外受到1d8点光耀伤害。</t>
  </si>
  <si>
    <t>防守战术</t>
  </si>
  <si>
    <t>第7级时，你选择获得以下特性之一。
冲出重围：以你为目标的借机攻击具有劣势。
多重防御：你被生物的攻击命中时，你在本回合内对抗该敌人所有后续攻击的AC获得+4加值。
钢铁意志：你对抗恐慌的豁免具有优势。</t>
  </si>
  <si>
    <t>使用魔法装置</t>
  </si>
  <si>
    <t>第13级起，你学习的魔法知识足以让你使用并不是为你设计的魔法物品。
此后你在使用魔法物品时，可以忽略所有职业、种族和等级的限制条件。</t>
  </si>
  <si>
    <t>施展一个持续时间不短于1分钟的法术时，你可以使用1术法点使法术的持续时间翻倍，但其最终结果不能超过24小时。</t>
  </si>
  <si>
    <t>投射守御</t>
  </si>
  <si>
    <t>第6级起，你周边30尺内一个你能看见的生物受到伤害时，你可以用你的反应，以你现有的奥术守御吸收这次伤害。
如果这次伤害将结界的生命值降至0，则被保护的目标将承受剩余的伤害值。</t>
  </si>
  <si>
    <t>魔法物品熟稔</t>
  </si>
  <si>
    <t>当你达到10级时，你对如何使用和制作魔法物品有了深刻的理解：
你一次最多可以调谐四个魔法物品。
如果你制作一件稀有度为普通或非普通的魔法物品，时间花费只需通常的四分之一，而且金钱花费只有通常的一半。</t>
  </si>
  <si>
    <t>报偿</t>
  </si>
  <si>
    <t>第14级起，身边5尺内敌人对你造成伤害时，你可以用反应对该生物发动一次近战武器攻击。</t>
  </si>
  <si>
    <t>附赠熟练项</t>
  </si>
  <si>
    <t>第3级选择逸闻学院时，你获得三个自选技能的熟练项。</t>
  </si>
  <si>
    <t>强力施法</t>
  </si>
  <si>
    <t>第8级起，你施展牧师戏法造成伤害时，可以再加上你的感知调整值。</t>
  </si>
  <si>
    <t>第6级起，你穿过非魔法的困难地形时不会消耗额外移动力。
你穿过非魔法的植物时不会消耗额外的移动力，且这类植物的荆棘、毛刺或类似的危害物也无法对你造成伤害。
另外，在抵抗魔法制造或控制的植物造成的移动障碍效应时（例如纠缠术），你进行豁免检定时具有优势。</t>
  </si>
  <si>
    <t>战技</t>
  </si>
  <si>
    <t>以下各战技按名称头字母顺序排列。</t>
  </si>
  <si>
    <t>天语通</t>
  </si>
  <si>
    <t>第13级起，你可以与其它生物进行心灵交流。
此后，你能够听懂所有语言，同时掌握至少一门语言的任何生物都能理解你讲的话语。</t>
  </si>
  <si>
    <t>净化之触</t>
  </si>
  <si>
    <t>第14级起，你可以用动作触碰你自身或一个自愿生物，以中止该目标身上的一个法术效应。
该特性的可用次数等于你的魅力调整值（至少一次）。
而已消耗的特性使用次数则可以通过完成一次长休进行恢复。</t>
  </si>
  <si>
    <t>多重攻击</t>
  </si>
  <si>
    <t>第11级时，你选择获得以下特性之一。
箭雨：你使用你的动作指定你的远程武器射程内你能看见的某点，并分别对该点周围10尺范围内任意数量的生物发动一次远程攻击。
发动该特性时，你必须有足够的弹药用以攻击敌人，且要为每个目标进行独立的攻击检定。
剑刃风暴：你使用你的动作指定你身边5尺内任意数量的生物，并分别对其发动一次近战攻击，每个受此攻击的目标必须进行独立的攻击检定。</t>
  </si>
  <si>
    <t>窃盗本能</t>
  </si>
  <si>
    <t>第17级起，你变的更加擅长伏击和快速脱离险境。
战斗的第一轮里，你可以行动两个回合：即你先以自己正常的先攻执行一个回合行动，再以先攻数值减10的数值作为另一先攻额外执行一回合的行动。
你不能在遭受突袭时使用该特性。</t>
  </si>
  <si>
    <t>施展一个迫使一个生物进行豁免以抵御其效应的法术时，你可以花费3术法点使该法术所有目标中的一个首次进行对抗该法术的豁免时具有劣势。</t>
  </si>
  <si>
    <t>精通防护</t>
  </si>
  <si>
    <t>第10级起，你施展一个需要你在施法过程中进行属性检定的防护系法术时（比如反制法术和解除魔法），你可以在进行相应的属性检定时加上你的熟练加值。</t>
  </si>
  <si>
    <t>储法物品</t>
  </si>
  <si>
    <t>当你达到第11级时，你将习得如何在一个物体中储存一个法术。当你完成一次长休，你能够触摸一件简易武器、军用武器或一个你可以将其作为法器使用的物品，从奇械师法术列表中选择一个施法时间为一个动作的1环或2环法术（你不需要准备这个法术）。
任何在手中持有该物品的生物能够使用你的施法关键属性来以一个动作通过该物品产生储存法术的效果。
如果该法术需要专注，则启动物品的生物必须进行专注。
该法术将留存在物品中，直到使用次数用完（最大使用次数等于你智力调整值的两倍（至少两次））或直到你再次使用该特性。</t>
  </si>
  <si>
    <t>精魄寻者</t>
  </si>
  <si>
    <t>语出惊人</t>
  </si>
  <si>
    <t>透视过去</t>
  </si>
  <si>
    <t>自然之护</t>
  </si>
  <si>
    <t>第10级起，你免疫元素生物或精类生物造成的魅惑或恐慌状态，并且免疫中毒和疾病。</t>
  </si>
  <si>
    <t>金刚魂</t>
  </si>
  <si>
    <t>第14级起，你对气的掌控令你所有的豁免检定都成了熟练项。
另外，当豁免失败时，你可以消耗1点气重掷豁免并使用重掷的结果。</t>
  </si>
  <si>
    <t>圣武士等级——法术
3rd——防护善恶，庇护术
5th——次级复原术，诚实之域
9th——希望信标，解除魔法
13th——行动自如，信仰守卫
17th——通神术，焰击术</t>
  </si>
  <si>
    <t>高效猎人防术</t>
  </si>
  <si>
    <t>第15级时，你选择获得以下特性之一。
反射闪避：你可以灵巧躲过某些特定的区域效应，比如红龙的火焰吐息或是法术闪电束。
你在成为某一范围效应影响对象时，若该效应允许你通过成功的敏捷豁免来使伤害减半，则你在该豁免成功时不受伤害，而豁免失败时只受一半伤害。
逆流而上：当敌人对你的近战攻击未命中时，你可以用反应迫使敌人向你所指定的生物（除攻击者外）重新发动攻击。
直觉闪避：当一个你能看见的敌人攻击命中你时，你可以用反应让此次攻击的伤害减半。</t>
  </si>
  <si>
    <t>你在第3级选择此范型时，获得易容工具和制毒者工具的熟练项。</t>
  </si>
  <si>
    <t>施展一个施法时间为1动作的法术时，你可以使用2术法点将其施法时间改为1附赠动作。</t>
  </si>
  <si>
    <t>法术抗性</t>
  </si>
  <si>
    <t>第14级起，你抵抗法术时进行的豁免检定具有优势。
此外，你对法术造成的伤害具有抗性。</t>
  </si>
  <si>
    <t>魔法物品专家</t>
  </si>
  <si>
    <t>当你达到14级时，你在魔法物品方面的技巧愈发精进：
你一次最多可以调谐五个魔法物品。
你无视调谐或使用魔法物品所需的任何职业、种族、法术和等级条件。</t>
  </si>
  <si>
    <t>图腾精魄</t>
  </si>
  <si>
    <t>额外魔法奥秘</t>
  </si>
  <si>
    <t>生命领域法术</t>
  </si>
  <si>
    <t>牧师等级——法术
1st——祝福术，疗伤术
3rd——次级复原术，灵体武器
5th——希望信标，回生术
7th——防死结界，信仰守卫
9th——群体疗伤术，死者复活</t>
  </si>
  <si>
    <t>自然庇护所</t>
  </si>
  <si>
    <t>第14级起，自然界的生物感知到你跟自然的链接而不会主动攻击你。
当一个野兽或植物类的生物攻击你时，该生物必须先进行一次对抗你德鲁伊法术DC的感知豁免。
豁免失败时，该生物必须选择另一个目标，否则其攻击将判为未命中。
豁免成功时，该生物在随后的24小时内免疫此效应。
该生物会在攻击你之前就意识到你有此效应。</t>
  </si>
  <si>
    <t>第15级起，你的气充盈身体让你不受衰老的减益，并且无法被魔法变老。
尽管你依然会寿终正寝，但再不需要饮食。</t>
  </si>
  <si>
    <t>在第3级选择本誓言时，你获得以下两种引导神力选项。
神圣武器:作为一个动作，你可以用引导神力特性向你正持握的一把武器注入正能量。
随后1分钟内，你使用该武器进行攻击检定时可以加上你的魅力调整值（至少为+1）。
该武器同时提供20尺半径的明亮光照，该范围外再延伸出20尺微光光照。
如果该武器之前不是魔法武器，则在效应持续其间该武器将视为魔法武器。
你可以在自己回合内执行任何其他动作时终止该效应，而终止效应的行为视为该动作的一部分。
当你不再持握或携带这把武器，或者当你陷入昏迷时，该效应终止。
驱散不洁:作为一个动作，你可以用引导神力特性亮出圣徽高喊祷言，以逐退不死生物和邪魔。
你身边30尺范围内能够看见圣徽或能听到你祷言的不死生物或邪魔都必须进行一次感知豁免，豁免失败者将受到驱散，其效应持续1分钟或直至其受到任何伤害。
以该方式被驱散的生物必须花费其回合内的所有移动力尽量远离你，且无法主动靠近你30尺内。
被驱散的生物无法执行反应，只能使用既有的疾走动作或从任何妨碍其移动的效应中挣脱。
该生物无路可走时将执行回避动作。</t>
  </si>
  <si>
    <t>游侠伴侣</t>
  </si>
  <si>
    <t>第3级时，你获得一个野兽伴侣陪你一起冒险，这名训练有素的伙伴能与你合作无间地战斗。
指定一个不大于中型体型，且挑战等级为1/4或更低的野兽（其属性数据以附录D中的猎鹰、獒犬和黑豹为例）。
将你的熟练加值加到该野兽的AC，攻击检定，伤害掷骰以及其所有具有熟练项的豁免和技能检定中。
其生命值上限选用其原上限，或你游侠等级的四倍两者中较高者。
跟其他别的生物一样，该野兽也可在短休时使用生命骰。
动物伴侣会尽可能执行你的命令。它会在轮到你的先攻时行动。
你在自己回合内可以用声音指令指示该野兽往何处移动（无需执行其他动作）。
你可以用你的动作以声音指令指示它执行攻击，疾走，撤离或协助动作。
若你无法发出指令，该野兽将自主执行回避动作。
如果你具有额外攻击特性，则你可以在命令该野兽执行攻击动作的同时自己发动一次武器攻击。
若你陷入失能或并不在场，该野兽将自主活动，并集中致力于保护你和它自己。
该野兽此时无需你下达指令即可使用期反应，比如以此发动一次借机攻击。
身处偏好地形时，如果只有该野兽与你一起，则你仍可以保持隐匿状态以正常步调旅行。
如果该野兽死亡，则你可以耗费8小时与另一个非敌对关系的野兽建立魔法联结成为伴侣，新的伴侣不一定要与之前的野兽类型相同。
该野兽可以跟其他生物一样在短休时使用其生命骰。当你陷入失能或不在身边时，该野兽也可以自主的保护你或者它自身。
它被借机攻击时，不需等待你的命令就可以执行其反应。</t>
  </si>
  <si>
    <t>暗杀</t>
  </si>
  <si>
    <t>第3级起，你一旦获得先机就会变得更加致命。
你对战斗开始后还没开始过自己回合的生物发动攻击时，所进行的攻击检定具有优势。
此外，你攻击命中被突袭的生物时，必定则造成重击。</t>
  </si>
  <si>
    <t>施展一个法术时，你可以使用1术法点无视该法术施法必须的语言成分或姿势成分。</t>
  </si>
  <si>
    <t>咒法学者</t>
  </si>
  <si>
    <t>从第2级你选择该学派起，你向法术书中抄写咒法系法术的时间和金钱花费减半。</t>
  </si>
  <si>
    <t>魔法物品大师</t>
  </si>
  <si>
    <t>18级起，你一次最多可以调谐六个魔法物品。</t>
  </si>
  <si>
    <t>兽之形</t>
  </si>
  <si>
    <t>超凡技艺</t>
  </si>
  <si>
    <t>第14级起，你进行属性检定时，可以花费一次诗人激励次数并掷一次激励骰，然后将结果加到你的属性检定上。
你可以在掷完属性检定后，DM宣布结果前决定是否使用此特性。</t>
  </si>
  <si>
    <t>在第1级选择该领域时，你获得重甲的熟练项。</t>
  </si>
  <si>
    <t>战斗荒野形态</t>
  </si>
  <si>
    <t>空灵体</t>
  </si>
  <si>
    <t>第18级起，你可以消耗4点气并使用动作隐形1分钟。
此时，你对力场伤害之外的所有伤害都具有抗性。
另外，你可以消耗8点气施展法术星界投影，以该形式施展的法术不需要材料成分，且无法捎带其他生物与你同行。</t>
  </si>
  <si>
    <t>奉献灵光</t>
  </si>
  <si>
    <t>第7级起，你与友方生物在你身边10尺内不会被魅惑。
提供该增益时你必须保持意识清醒。
第18级起，灵光的作用范围扩展至30尺。</t>
  </si>
  <si>
    <t>特殊训练</t>
  </si>
  <si>
    <t>第7级起，如果你的野兽伴侣在你的回合内未曾发动攻击，则你可以在本回合用一个附赠动作命令该野兽在其回合内执行“疾走”“撤离”或“协助”动作。
此外，该野兽的攻击作用于非魔法攻击与伤害的免疫与抗性时视为魔法。</t>
  </si>
  <si>
    <t>专业渗透</t>
  </si>
  <si>
    <t>第9级起，你可以不限次的为自己伪造身份。
你必须花费七天和25gp来为身份编造历史、工作和人际关系。
不过你不能伪造成已存在的角色。
例如，你获得相应的衣服、介绍信和官方证明，使得你自己看上去就是一个来自偏远城市贸易屋的成员，然后你就可以混入其他商人中间。
此后，如果你通过易容获取了这个身份，其他生物就相信你是那个人，直至其得到一个显而易见的理由可以否定这个身份。</t>
  </si>
  <si>
    <t>施展一个影响单一生物，且施法距离并非自身的法术时，你可以使用等于法术环阶的术法点（戏法消耗1点），并在法术施法距离内再指定另一个目标。
以高环阶施展的法术，其升环施法后如果目标变为复数则无法再使用该方式增加其目标。
例如，魔法飞弹和灼热射线可能无法使用该超魔法项，而冷冻射线和繁彩球则不会出现该问题。
适用该超魔的法术在其当前环阶时不能同时指定多个生物为目标。
比如，魔法飞弹和灼热射线不符合条件，而冷冻射线和繁彩球则符合条件。</t>
  </si>
  <si>
    <t>次级咒术</t>
  </si>
  <si>
    <t>从第2级你选择该学派起，你可以用你的动作召来一件无生命的物件。
该物件将出现在你手中，或者你周边10尺范围内一处那你能看见且未被占据的地面空间。
该物件每边长度不得大于3尺，重量不得大于10磅。
其形状必须是你曾经见过的一件非魔法物件的形状。
该物件看起来明显是由魔法构成且散发着出5尺范围的微光光照。
该物件将在1小时后消失不见。
当你再次使用该特性，或当其受到伤害或造成伤害时，物件也会提前消失。</t>
  </si>
  <si>
    <t>奇械之魂</t>
  </si>
  <si>
    <t>在20级时，你与你的魔法物品建立了一种神秘的联系，你可以利用它来保护自己。
你当前每有一件调谐中的魔法物品，你就在所有豁免检定中得到+1加值。
如果你的生命值降低到0，但没有立即死亡，你能以一个反应解除一个注法，使你的生命值降低到1而不是0。</t>
  </si>
  <si>
    <t>精魄行者</t>
  </si>
  <si>
    <t>在第3级选择勇气学院时，你获得中甲、盾牌和军用武器的熟练项。</t>
  </si>
  <si>
    <t>生命门徒</t>
  </si>
  <si>
    <t>第1级起，你的治疗法术更加有效。
当你使用1环或更高环阶法术恢复生物生命值时，你的目标额外恢复2＋法术环阶数值的生命值。</t>
  </si>
  <si>
    <t>结社形态</t>
  </si>
  <si>
    <t>结社的力量让你可以变成更危险的动物形态。
第2级起，你用荒野形态特性变身的野兽其挑战等级至高为1（无视表格“野兽形态”中的“最高CR栏”，但限制依然生效）。
第6级起，你所变身野兽的挑战等级最高等于你的德鲁伊等级除以3（向下取整）。</t>
  </si>
  <si>
    <t>超凡入圣</t>
  </si>
  <si>
    <t>第20级起，若你骰先攻时身上未有储备的气，则你获得4点气。</t>
  </si>
  <si>
    <t>纯净之魂</t>
  </si>
  <si>
    <t>第15级起，你获得永远保持法术防护善恶效应的能力。</t>
  </si>
  <si>
    <t>兽性狂怒</t>
  </si>
  <si>
    <t>第11级起，当你命令野兽伴侣执行攻击动作时，它可以发动两次攻击。
或者，若其拥有“多重攻击”动作项，则它也可以执行该动作项。</t>
  </si>
  <si>
    <t>冒充者</t>
  </si>
  <si>
    <t>第13级起，你获得准确模仿他人说话，写字和行为的能力。
你必须花费至少三小时来学习模仿目标的这三方面行为：听他说话，练习写字并观察其特殊习惯。
你伪装手段主要针对那些不细心观察的对象。
如果某个机警的生物觉得你有问题，则你此时为避免被识破而进行的所有魅力（欺瞒）检定都具有优势。</t>
  </si>
  <si>
    <t>王车易位</t>
  </si>
  <si>
    <t>第6级起，你可以用你的动作传送至一处距离你30尺内，你能看见且未被占据的空间。
你也可以指定一处该距离内被一个小型或中型生物所占据的空间，如果该生物愿意，则你就可以与它交换位置。
你必须完成一次长休，或施展一个环阶不低于1环的咒法系法术才能再次使用该特性。</t>
  </si>
  <si>
    <t>奇械师注法</t>
  </si>
  <si>
    <t>图腾同调</t>
  </si>
  <si>
    <t>战斗激励</t>
  </si>
  <si>
    <t>引导神力：维持生命</t>
  </si>
  <si>
    <t>原初打击</t>
  </si>
  <si>
    <t>第6级起，你以野兽形态攻击时，如果目标对非魔法攻击或伤害具有免疫或抗性，则你的攻击此时视为魔法攻击。</t>
  </si>
  <si>
    <t>散打技巧</t>
  </si>
  <si>
    <t>第3级选择散打宗后，你可以在击中敌人时操作其体内的气。
当你用疾风连击特性的攻击击中敌人时，你可以让该目标承受下列效应之一：
目标必须进行一次敏捷豁免，豁免失败则应击倒地。
目标必须进行一次力量豁免，豁免失败则被往远离你的方向推动至多15尺。
目标直到你的下一回合结束前，无法执行反应。</t>
  </si>
  <si>
    <t>至圣光轮</t>
  </si>
  <si>
    <t>第20级时，你可以用一个动作生成一个散发阳光的灵光。
在随后的1分钟内，明亮光照从你身边往外辐射半径30尺的球状区域，并在该范围外额外辐射30尺范围的微光光照。
在该明亮光照范围内开始其回合的每个敌对生物都将受到10点光耀伤害。
此外，在该特性持续时间内，你对抗不死生物或邪魔的法术时进行的豁免检定具有优势。
你必须完成一次长休才能再次使用该特性。</t>
  </si>
  <si>
    <t>法术共享</t>
  </si>
  <si>
    <t>第15级起，当你施展一个目标为自身的法术时，如果你的野兽伴侣处于你身边30尺范围内，则该法术效应同时也作用于你的野兽伴侣。</t>
  </si>
  <si>
    <t>致命一击</t>
  </si>
  <si>
    <t>第17级起，你熟练掌握瞬杀的技巧。
你攻击命中一个被突袭的生物时，该生物必须进行一次体质豁免（DC8＋你的敏捷调整值＋你的熟练加值）。
豁免失败时，你将对其造成双倍伤害。</t>
  </si>
  <si>
    <t>术法复苏</t>
  </si>
  <si>
    <t>第20级时，你每完成一次短休，可以恢复4术法点。</t>
  </si>
  <si>
    <t>咒法专注</t>
  </si>
  <si>
    <t>第10级起，你在专注咒法系法术时，不会因承受伤害而打断专注。</t>
  </si>
  <si>
    <t>奥能动力甲</t>
  </si>
  <si>
    <t>神性之怒</t>
  </si>
  <si>
    <t>第6级起，你在自己回合内执行攻击动作时可以攻击两次而非一次。</t>
  </si>
  <si>
    <t>神佑医者</t>
  </si>
  <si>
    <t>第6级起，你施展的治疗法术也会治疗你自身。
你对其他生物施展1环或更高环阶法术法术时，可对自身恢复2＋法术环阶数值的生命值。</t>
  </si>
  <si>
    <t>元素荒野形态</t>
  </si>
  <si>
    <t>第10级起，你可以花费两次荒野形态次数以变成气元素，土元素，火元素或者水元素。</t>
  </si>
  <si>
    <t>混元体</t>
  </si>
  <si>
    <t>第6级起，你获得自疗的能力。
你可以使用一个动作获得等同于三倍武僧职业等级的生命值。
你必须完成一次长休才能再次使用该特性。</t>
  </si>
  <si>
    <t>圣武士等级——法术
3rd——诱捕打击、动物交谈术
5th——月华之光、迷雾步
9th——植物滋长、防护能量伤害
13th——冰风暴、石肤术
17th——问道自然、树跃术</t>
  </si>
  <si>
    <t>幽域追踪者法术</t>
  </si>
  <si>
    <t>3级起，你学会一个额外法术当你到达指定游侠等级时，如幽域追踪者法术列表所示。
这些法术对你视为游侠法术，它不计入你的已知法术总数中。
游侠等级——法术
3级——易容术
5级——魔绳术
9级——恐惧术
13级——高等隐身术
17级——伪装术</t>
  </si>
  <si>
    <t>第3级起，你获得施法能力。参考第10章的施法规则，以及第11章的法师法术列表。</t>
  </si>
  <si>
    <t>巨龙先祖</t>
  </si>
  <si>
    <t>第1级时，你选择一种巨龙作为你的先祖。
对应的伤害类型将在随后获得的特性中用到。
你可以说、读、写龙语。
此外，你与巨龙互动时进行的魅力检定可以使用熟练加值时，可以加上双倍的加值。</t>
  </si>
  <si>
    <t>强韧召唤</t>
  </si>
  <si>
    <t>第14级起，你用咒法系法术所召唤或创造的生物获得30点临时生命值。</t>
  </si>
  <si>
    <t>魔法力量盔甲</t>
  </si>
  <si>
    <t>神之勇者</t>
  </si>
  <si>
    <t>战斗魔法</t>
  </si>
  <si>
    <t>第14级起，你可以自如地同时使用音乐魔法和武器。
每当用动作施展一个诗人法术时，你同时还可以用附赠动作发动一次武器攻击。</t>
  </si>
  <si>
    <t>神圣打击</t>
  </si>
  <si>
    <t>千面相</t>
  </si>
  <si>
    <t>第14级起，你学会了用魔法精确改变自身外形的方法。
你可以随意施展法术变身术。</t>
  </si>
  <si>
    <t>宁神境</t>
  </si>
  <si>
    <t>第11级起，你可以进入一种特殊的冥想状态，使浑身环绕着和平的灵光。
完成长休后，你将获得法术庇护术的效应，其效应持续至你再次开始长休之前（该法术效应可以如常被提前终止）。
该法术效应的豁免DC等于8＋你的感知调整值＋你的熟练加值。</t>
  </si>
  <si>
    <t>在第3级选择本誓言时，你获得以下两种引导神力选项。
自然之怒：你可以用引导神力特性唤起原初之力来诱捕敌人。
作为一个动作，你可以让特殊的藤蔓生长并缠绕一个距离你10尺内，你能看见的生物。
该生物必须进行一次力量或敏捷豁免（由其选择），豁免失败者将陷入束缚状态。
此后，每当该生物结束其回合时，都可以再进行一次该豁免。
一旦豁免成功，则该生物挣脱束缚，藤蔓也就此消失。
驱散无信者：你可以用引导神力特性发出远古的圣言，使听到圣言的精类生物和邪魔感到痛苦。
作为一个动作，你亮出圣徽，迫使身边30尺范围内能够听到你声音的所有精类生物或邪魔都进行一次感知豁免，豁免失败者将受到驱散，其效应持续1分钟或直至其受到任何伤害。
以该方式被驱散的生物必须花费其回合内的所有移动力尽量远离你，且无法主动靠近你30尺内。
被驱散的生物无法执行反应，只能使用既有的疾走动作或从任何妨碍其移动的效应中挣脱。
该生物无路可走时会执行回避动作。
如果被驱散生物的真实外形被幻术、变形、或其他效应掩盖，那么在被驱散后，它将显露出原形。</t>
  </si>
  <si>
    <t>恐惧奇兵</t>
  </si>
  <si>
    <t>你精通于伏击的艺术。
你获得一个等同于你的感知调整值的加值在你的先攻投上。
在每一场战斗的你的第一个回合的开始，你的移动速度增加10尺，直到那个回合结束。
如果你在那个回合进行攻击动作，你可以做一次额外的武器攻击作为那一个动作的一部分。
如果那次攻击命中，目标受到额外1d8的武器伤害。</t>
  </si>
  <si>
    <t>你从法师法术列表中选择三个戏法作为已知法术（包括戏法法师之手和另外两个法师法术列表中的自选戏法）。
第10级时，你再获得额外一个法师戏法。</t>
  </si>
  <si>
    <t>龙族体魄</t>
  </si>
  <si>
    <t>魔法在你的体内流动，并使你显露出你巨龙先祖的部分身体特质。
第1级时，你的生命值上限提升1点，此后每提升一个术士等级，都将再次提升1点。
此外，你部分皮肤覆盖着龙鳞样式的柔鳞。
未着装护甲时，你的AC等于13＋你的敏捷调整值。</t>
  </si>
  <si>
    <t>预言学者</t>
  </si>
  <si>
    <t>从第2级你选择该学派起，你向法术书中抄写预言系法术的时间和金钱花费减半。</t>
  </si>
  <si>
    <t>折返之靴</t>
  </si>
  <si>
    <t>激励光环</t>
  </si>
  <si>
    <t>极效治疗</t>
  </si>
  <si>
    <t>仲夏庭院的芬馥</t>
  </si>
  <si>
    <t>2级起，你将被灌注来自仲夏庭院的祝福，由此成为缓解旅者乏顿和伤者痛苦的圣洗池。
你得到等同于德鲁伊等级每d6作为代表的妖精能量池。
以一个附赠动作，你可以选择一名在你120尺内的可见盟友，并且花费最多等于你德鲁伊等级一半的d6骰。
投掷那些骰子并把结果加在一起。目标恢复等于那个总值的生命值。
目标同时也得到等同于花费骰子数目的临时生命值。
在你结束一次长休之后，你恢复所有花费掉的骰子。</t>
  </si>
  <si>
    <t>渗透劲</t>
  </si>
  <si>
    <t>第17级起，你可以将暗劲击入他人体内。
你的徒手打击命中目标生物时，可以消耗3点气将一股致命的劲力送入敌人体内。
劲力的持续日数等于你的武僧等级，且在你用动作终止劲力之前它不产生任何减益。
若要终止劲力，你和目标必须在同一个位面。
而你使用动作终止劲力后，目标必须进行一次体质豁免，豁免失败则其生命值降为0，豁免成功则目标受到10d10的暗蚀伤害。
同一时间只能有一个生物受你渗透劲特性影响。
你也可以选择不造成任何伤害的终止渗透劲，且不需要使用动作。</t>
  </si>
  <si>
    <t>守御灵光</t>
  </si>
  <si>
    <t>第7级起，强大的远古魔法眷顾着你，以至于在你身边形成了一道神秘的结界。
你和距离你10尺以内的友善生物获得对法术伤害的抗性。
第18级起，灵光的范围增加至30尺。</t>
  </si>
  <si>
    <t>阴影视野</t>
  </si>
  <si>
    <t>3级起，你获得60尺黑暗视觉。
如果你已经从种族特性中获得了黑暗视觉，它的范围增加30尺。
你还擅长回避依赖黑暗视觉的角色。
在黑暗中，你对于任何靠黑暗视觉观察你的角色是隐形的。</t>
  </si>
  <si>
    <t>“诡术师施法能力”表中列出了你用以施展你法师法术的1环及更高环阶法术位数量。
施展这些法术时，你必须同时消耗一个不低于该法术环阶的法术位。
而已消耗的法术位可以通过完成以此长休进行恢复。
例如，若你已知1环法术魅惑人类，并且有一枚可用的1环法术位和一枚可用的2环法术位，则你可以用两者之一施展魅惑人类。</t>
  </si>
  <si>
    <t>元素亲和</t>
  </si>
  <si>
    <t>第6级起，当你施展伤害类型与你巨龙先祖相对应的法术时，可以将你的魅力调整值附加到该法术其中一次伤害掷骰中。
此时你还可以用1术法点来获得持续1小时的相应伤害抗性。</t>
  </si>
  <si>
    <t>预兆</t>
  </si>
  <si>
    <t>从第2级你选择该学派起，预知未来的片段会时常在你意识中闪过。
你在每次完成长休时投两次d20并记下两组骰值。
此后，你可以用这两组预知骰骰值中的任意一个，替代任何一次由你，或者由你能看见的某个生物所进行的攻击检定，豁免检定或属性检定。
你必须在相关检定开始前决定是否使用预知骰，且你每回合只能使用一次预知骰。
每个预知骰只能使用一次。
你完成一次长休后，将失去所有未使用的预知骰。</t>
  </si>
  <si>
    <t>增强奥术法器</t>
  </si>
  <si>
    <t>醉人表演</t>
  </si>
  <si>
    <t>光明领域法术</t>
  </si>
  <si>
    <t>牧师等级——法术
1st——燃烧之手、妖火
3rd——炽焰法球、灼热射线
5th——昼明术、火球术
7th——信实守卫、火墙术
9th——焰击术、探知</t>
  </si>
  <si>
    <t>月光与阴影的炉心</t>
  </si>
  <si>
    <t>6级起，无论你在何处设立营灶，那都是的你家园。
在进行一次短休息或长休息时，你可以祈求薄暮庭院的幽影之力来保护你的营地不被外来者侵扰。
在休息开始时，你接触空间中的一点，以那一点为中心一个隐形的、半径30尺的球体魔法般地出现。
全掩护会阻断这个球体。
在这一领域内你和你的盟友在所有感知（观察）检定和敏捷（隐匿）检定中得到+5加值，并且由任何明火放射的光亮（营火，火把以及类似之物）从领域外是不可见的。
这些效果持续到休息结束或你离开这个领域。</t>
  </si>
  <si>
    <t>暗影技艺</t>
  </si>
  <si>
    <t>第3级你选择本宗派起，你可复制某些特定法术的效应。
你可用一个动作消耗2点气以施放黑暗术，黑暗视觉，行动无踪或沉默术，且无需材料成分。
此外，若你仍未习得戏法次级幻影，则你将获得该戏法。</t>
  </si>
  <si>
    <t>不灭哨卫</t>
  </si>
  <si>
    <t>第15级起，你生命值降至0点，但尚未被直接杀死时，可以选择让你的生命值降到1点而不是0点。
你必须完成一次长休后才能再次使用该能力。
此外，你不受任何衰老减益。
也不会因为魔法效应而衰老。</t>
  </si>
  <si>
    <t>钢铁意志</t>
  </si>
  <si>
    <t>7级时，你已经磨炼出用来抵御来自于你的猎物的精神影响能量的能力。
你获得感知豁免熟练。
如果你已经有这项熟练，你可以获得智力或者魅力豁免熟练（取决于你）来代替。</t>
  </si>
  <si>
    <t>你习得三个自选的1环法师法术，其中两个必须从附魔系和幻术系中选择。
表格“诡术师施法能力”中“已知法术”一栏记录了你获得更多已知法术时的相应等级。
你只能选择附魔系或幻术系法术，且所获得法术的环阶不能好过你所拥有的最高法术位环阶。
例如，如果你在本职业打到第7级，则可以学习一个新的1环法术或2环法术。
你在第8，第14和第20级可学习来自任何学派的法术。
你每次提升本职业等级时，可以将一个已知法术替换为另一个法师法术。
这个新法术的环阶不能超过你所拥有的最高法术位打到环阶，且必须从附魔系或幻术系中选择（除非你替换的是第3，第8，第14或第20级习得的法术）。</t>
  </si>
  <si>
    <t>龙翼</t>
  </si>
  <si>
    <t>第14级时，你获得一对可以从背后张开的龙翼，并获得等于你当前速度的飞行速度。
你可以在自己回合内用一个附赠动作生成龙翼。
龙翼持续存在至你在自己回合内用一个附赠动作将其解散。
你不能在着装护甲时张开龙翼（除非该护甲经过特殊的设计）。
而当你显现龙翼时，未经过特殊设计的衣服可能会毁坏。</t>
  </si>
  <si>
    <t>预言专家</t>
  </si>
  <si>
    <t>第6级起，你对施展预言法术的技巧驾轻就熟，几乎不用使什么力气。
你用法术位施展一个环阶不低于2环的预言系法术时，可以恢复一个已耗用的法术位。
所恢复的法术位环阶必须比你正施展的预言系法术所用的法术位低，且不能高于5环。</t>
  </si>
  <si>
    <t>增强防御</t>
  </si>
  <si>
    <t>物品：一套盔甲或一面盾牌
穿着该盔甲或挥舞该盾牌的生物在AC上获得+1加值。
当你拥有10个奇械师等级时，该加值变成+2。</t>
  </si>
  <si>
    <t>怒不畏死</t>
  </si>
  <si>
    <t>统御光环</t>
  </si>
  <si>
    <t>在你第1级选择该领域时，获得戏法光亮术，如果你已经学会则不会重新获得。</t>
  </si>
  <si>
    <t>隐匿通途</t>
  </si>
  <si>
    <t>10级起，你可以使用那些被隐藏起来的、无法预测的魔法道路，像妖精一样在眨眼之间穿越空间。
在你的回合，你可以以一个附赠动作传送到60尺内一处未被占据的可见区域。
或者，你也可以用你的动作来接触一个自愿生物将它传送至30尺内一处未被占据的你可见的空间。
你可以使用这个能力的次数等同于你的感知调整值（至少1次），当你结束一次长休之后，你恢复所有使用次数。</t>
  </si>
  <si>
    <t>暗影步</t>
  </si>
  <si>
    <t>第6级起，你获得在阴影中漫步的能力。
你处于微光光照或黑暗环境时，可以用附赠动作传送至多60尺，到达一个你能看见且未被占据还必须同样处于微光光照或黑暗环境中的区域。
随后直至你本回合结束前，你下一次发动近战攻击时具有优势。</t>
  </si>
  <si>
    <t>上古斗士</t>
  </si>
  <si>
    <t>第20级起，你可以化作远古自然力量的化身，并获得一项你自己决定的外貌特征。
例如，你的皮肤可能变成绿色，或者长出树皮般的纹理。
你的头发也许会变得像树叶或青苔一般，又或者你长出了鹿角或者狮鬃。
你使用一个动作以经历该变化，并在接下来一分钟内获得以下增益：
你在每个自己的回合开始时，恢复10点生命值。
你施展施法时间为1动作的圣武士法术时，可以用一个附赠动作而不是一个动作来施展它。
距离你10尺以内的敌人对抗你圣武士法术和引导神力特性进行豁免检定时具有劣势。
你必须完成一次长休后才能再次使用该特性。</t>
  </si>
  <si>
    <t>追猎如风</t>
  </si>
  <si>
    <t>11级时，你学会以出人意料的速度来发动攻击以至于你能够将一次失手转化为另一次攻击。
你的每个回合一次，当你的一次武器攻击未命中时，你可以做出另一次武器攻击作为同一动作的一部分。</t>
  </si>
  <si>
    <t>你通过研究和记忆学习魔法，因此智力是你施展法师法术的关键属性。
每当你的法术需要施法关键属性时均指向你的智力值。
而你的法师法术的豁免DC和攻击检定，则使用你的智力调整值
法术豁免DC＝8＋你的熟练加值＋你的智力调整值
法术攻击调整值＝你的熟练加值＋你的智力调整值</t>
  </si>
  <si>
    <t>真龙姿态</t>
  </si>
  <si>
    <t>18级起，你可以导引你巨龙先祖的恐怖气息，使你周围的生物感到震撼或恐慌。
你可以用一个动作和5术法点引导这股力量，并张开一个60尺范围的震撼（或恐惧）灵光。
在1分钟内，只要你保持专注（等同于施法时进行专注），在灵光范围内开始其回合的每个敌对生物都必须进行一次感知豁免，豁免失败则被魅惑（震撼灵光）或陷入恐慌（恐惧灵光）直至灵光消失。
豁免成功者将在随后的24小时内免疫你的灵光效应。</t>
  </si>
  <si>
    <t>天眼通</t>
  </si>
  <si>
    <t>第10级起，你可以用你的动作增强你的感知能力。
使用此特性时，你选择一下增益其中之一。
其效应将持续至你陷入失能状态，或直至你开始一次短休或长休。
你必须完成一次休息才能再次使用该特性。
黑暗视觉：你获得60尺的黑暗视觉。
以太视界：你可以看到自身周边60尺范围内的以太位面。
高等理解力：你可以读懂任何语言。
识破隐形：你可以看到距离你10尺内，且处在你视线范围内的隐形生物或物件。</t>
  </si>
  <si>
    <t>增强武器</t>
  </si>
  <si>
    <t>物品：一把简易或军用武器
该魔法武器在攻击和伤害检定中具有+1加值。
当你拥有10个奇械师等级时，该加值变成+2。</t>
  </si>
  <si>
    <t>先祖护卫</t>
  </si>
  <si>
    <t>绝对统御</t>
  </si>
  <si>
    <t>守御闪光</t>
  </si>
  <si>
    <t>梦境行者</t>
  </si>
  <si>
    <t>14级起，妖精荒野的魔力让你能物理性或精神性地穿越梦境空间。
当你完成了一次短休息，你可以施展以下法术之一，无需消耗法术位也无需材料成分：托梦术（以你作为信使）、探知、或传送法阵。
以这种方法使用的传送法阵是特别的。
取代了打开入口通往永久性传送法阵的能力，它将打开入口通往你在现存位面上完成最后一次长休息的所在地。
如果你没有在现存位面上进行过长休息，这个法术会失败但不会浪费。
一旦你使用这个能力，直到你结束长休之前你不能再次使用。</t>
  </si>
  <si>
    <t>幽影斗篷</t>
  </si>
  <si>
    <t>第11级起，你学会如何化身为幽影。
当你处于微光光照或黑暗环境时，可以用动作变为隐形。
隐形状态将一直持续至你发动攻击、施展法术或进入明亮光照区域时结束。</t>
  </si>
  <si>
    <t>圣武士等级——法术
3rd——灾祸术、猎人印记
5th——人类定身术、迷踪步
9th——加速术、防护能量伤害
13th——放逐术、任意门
17th——怪物定身术、探知</t>
  </si>
  <si>
    <t>暗影闪避</t>
  </si>
  <si>
    <t>15级起，伴随着一缕围绕在你身边的神奇暗影，你能以某种让人始料未及的方式躲闪。
无论何时一名角色对你做出一次攻击投掷且那次投掷没有优势，你都能用反应对其施加劣势。
你必须在知道攻击投掷的结果之前使用该特性。</t>
  </si>
  <si>
    <t>法师之手·诈</t>
  </si>
  <si>
    <t>第3级起，你施展法师之手时可以制作一个隐形的幽灵手，且你可以用它来做下列特殊任务：
你可以传递一个幽灵手持握的物件到其他生物携带或着装的容器中。
你可以取回一个其他生物携带或着装容器内的物件。
你可以用盗贼工具在其施法范围内撬锁和解除陷阱。
你可以在目标生物不知情的前提下完成这些任务之一，前提是你必须进行一次敏捷（巧手）检定，并在与该生物的感知（察觉）检定对抗中胜出。
此外，你还可以用你的灵巧动作特性给予的附赠动作来控制法师之手。</t>
  </si>
  <si>
    <t>狂野魔法浪涌</t>
  </si>
  <si>
    <t>在你第1级选择该起源开始，你施法时会释放出未经塑造的魔法浪涌。
你每次施展一个不低于1环的术士法术后，DM都可以要求你立刻骰一次d20。
如果你骰出1，则请根据表格“狂野魔法浪涌”骰出随机的魔法效应。
每回合一次，DM可以让你在施展一道1环或更高环阶术士法术后立即骰一次d20。
若你骰值为1，则按表格“狂野魔法浪涌”骰出一个魔法效应。
若该效果是一道法术，则其因过于狂野而无法受你的超魔法影响，而如果它正常情况下需要专注，则此时它无需专注。
该法术生效至其持续时间结束。
一个魔法浪涌每回合只能出现一次。
如果某个浪涌的效应是一个法术，则其狂野的本质让其无法受超魔法的影响。
如果其对应法术需要专注，则此时它并不需要专注。
以该方式生效的法术将维持至其持续时间结束。</t>
  </si>
  <si>
    <t>高等预兆</t>
  </si>
  <si>
    <t>第14级起，你梦中的景象更为清晰精确的在你意识中描绘出了将要发生的一切。
你的预兆特性获得三个预知骰，而不再是两个。</t>
  </si>
  <si>
    <t>人工生命仆从</t>
  </si>
  <si>
    <t>物品：一颗价值至少100gp的宝石或水晶
你习得了如何魔法性的创造一个为你服务的特殊人工生命。
你在注法中使用的物品将变成人工生命的心脏，而它的身体会立即围绕心脏成型。
你能够决定人工生命的外观。
有些奇械师喜欢看上去像机械的鸟，也有些喜欢长翅膀的小瓶或是拥有生命的小坩埚。
人工生命对你和你的同伴都十分友善，且服从你的命令。
人工生命的游戏数据见下，它的数据中某几项会适用你的熟练加值。
在战斗中，人工生命使用你的先攻，并且在你的回合后立即行动。
它能自由移动和执行反应，但除非你以一个附赠动作命令它进行数据中列出的动作或其他动作，否则它在回合中只能进行闪避动作。
如果你失能，人工生命可以进行任何动作，而不仅仅是闪避。
如果你对人工生命施放修复术，它将恢复2d6生命值。
如果你或人工生命死亡，它将消失，只有心脏会留在它之前占据的地方。</t>
  </si>
  <si>
    <t>精魂之盾</t>
  </si>
  <si>
    <t>引导神力：黎明曙光</t>
  </si>
  <si>
    <t>林地之语</t>
  </si>
  <si>
    <t>2级时，你获得了和野兽以及许多精类进行交流的能力。
你学会对于木族语的说、读、和写的能力。
此外，野兽能理解你的语言，而你也能理解它们的声音和动作。
大多数野兽缺乏足够的智力去表述或理解复杂的概念，但友善的野兽可以复述它在最近听到或看到的事物。
此能力并不会让你和野兽形成特别的友谊，尽管你可以将此技能与讨好它们的礼物结合使用，就像是你能对其他NPC做的那样。</t>
  </si>
  <si>
    <t>灵机一斩</t>
  </si>
  <si>
    <t>第17级起，你可以抓住利用生物被攻击命中时的短暂停顿。
身处你身边5尺范围内的生物被除你之外的生物攻击命中时，你可以用反应对该被攻击生物发动一次近战攻击。</t>
  </si>
  <si>
    <t>在第3级选择本誓言时，你获得以下两种引导神力选项。
破胆斥喝：作为一个动作，你亮出圣徽，高喊一句斥责敌人的祷言，并使用引导神力特性。
指定一个你能看见，且距离你60尺以内的生物。
目标生物必须进行一次感知豁免，除非其免疫恐慌。
邪魔和不死生物进行该豁免时具有劣势。
豁免失败者将在接下来的一分钟内陷入恐慌，直至其受到伤害。
在恐慌状态下，目标生物的速度降至0，且不能从任何增加移动速度的效应中上获益。
豁免成功，则目标生物的速度在接下来的1分钟内减半，直至其受到伤害。
仇敌誓言：作为一个附赠动作，你可以立下一个仇敌誓言，宣誓歼灭一个你可以看到，且距离你10尺以内的生物，同时使用你的引导神力。
在接下来的1分钟内，你对该生物发动攻击时进行的攻击检定具有优势，直至该生物的生命值降至0或者陷入昏迷状态。</t>
  </si>
  <si>
    <t>边界行者魔法</t>
  </si>
  <si>
    <t>3级起，你学会一个额外法术当你到达指定游侠等级时，如边界行者法术列表所示。
这些法术对你视为游侠法术，它不计入你的已知法术总数中。
游侠等级——法术
3级——防护善恶
5级——迷踪步
9级——加速术
13级——放逐术
17级 ——传送法阵</t>
  </si>
  <si>
    <t>诡术伏击</t>
  </si>
  <si>
    <t>第9级起，如果你在针对某个生物躲藏的状态下对其施法，则该生物在本回合里对抗该法术所进行的豁免检定具有劣势。</t>
  </si>
  <si>
    <t>混乱之潮</t>
  </si>
  <si>
    <t>第1级起，你可以驾驭机运与混乱的力量，以使一次攻击检定，属性检定或豁免检定具有优势。
此后，你必须完成一次长休后才能再次使用该特性。
在你重获使用混乱之潮的能力前，你每次施展一个不低于1环的术士法术后，DM都可以要求你立刻骰一次狂野魔法浪涌效果。
此后，你重获使用该特性的能力。</t>
  </si>
  <si>
    <t>附魔学者</t>
  </si>
  <si>
    <t>从第2级你选择该学派起，你向法术书中抄写附魔系法术的时间和金钱花费减半。</t>
  </si>
  <si>
    <t>警觉之盔</t>
  </si>
  <si>
    <t>问道精魂</t>
  </si>
  <si>
    <t>精通闪光</t>
  </si>
  <si>
    <t>第6级时，你能看见的生物在你周边30尺内攻击除你之外的某个生物时，你可以对该攻击者使用你的“守御闪光”。</t>
  </si>
  <si>
    <t>精魂图腾</t>
  </si>
  <si>
    <t>2级起，你获得了招现出自然精魂并借助它们影响你身边的世界的能力。
以一个附赠动作，你可以魔法般地召唤一个虚体的精魂，到处于你周围60英尺内、你能看到的一点处。
此精魂创造出一道环绕该点的、30英尺半径的光环。
精魂不算作是生物，也不算作是物体，尽管它有着符合对应生物的幽魂般的外表。
以一个附赠动作，你可以移动此精魂至多60英尺，到你能看到的一点处。
此精魂持续1分钟或直到你失能。
一旦你使用了此特性，你无法再次使用它，直到你完成一次短休息或长休息为止。
此精魂的光环效果基于你召唤的精魂的类别，如下面的选项所示。
熊精魂：熊精魂授予你和你的伙伴它的力量和坚韧。
在精魂出现时，每个处于此光环中、由你选择的生物，获得等于5+你的德鲁伊等级的临时生命值。
此外，你和你的盟友在处于光环内时，在力量检定和力量豁免检定中获得优势。
鹰精魂：鹰精魂是技艺精湛的猎手，用它敏锐的视力标记你的敌人。
当一个生物对一个处于此精魂光环内的目标进行一次攻击检定时，你可以使用你的反应让这次攻击检定获得优势。
此外，在光环内你和你的盟友得到感知（观察）检定的优势。
独角兽精魂：独角兽精魂为周围提供保护。
你和你的盟友在用于侦测在此精魂光环内的生物所进行的所有属性检定中获得优势。
此外，若你以一个法术位施展了一个为任何处于或不处于光环内的人恢复生命值的法术，每个处于光环内、由你选择的生物也恢复等于你德鲁伊等级的生命值。</t>
  </si>
  <si>
    <t>四象门徒</t>
  </si>
  <si>
    <t>坚韧复仇</t>
  </si>
  <si>
    <t>第7级起，你超自然的专注力使你可以拦截敌人撤退。
你以借机攻击中命中一个生物时，可以在该攻击后立刻移动至多相当于你速度一半的距离，本次移动是原反应的一部分。
且本次移动不引起借机攻击。</t>
  </si>
  <si>
    <t>侦测传送门</t>
  </si>
  <si>
    <t>在3级时，你获得侦测传送门的魔法灵光的能力。
以一个动作，在离你1英里的范围内，你侦测到离你最近的传送门的距离和方向。
你使用这一特性后，你无法再次使用直到你进行完一次短休或长休。</t>
  </si>
  <si>
    <t>万能诡术</t>
  </si>
  <si>
    <t>第13级时，你获得用你的法师之手使目标分心的能力。
作为一个附赠动作，你可以在自己的回合内指定该法术之幽灵手周边5尺内的一个生物。
直至该回合结束之前，你对该生物发动的攻击检定具有优势。</t>
  </si>
  <si>
    <t>扭曲幸运</t>
  </si>
  <si>
    <t>第6级起，你获得用你的狂野魔法扭曲命运的能力。
当一个你能看见的生物进行攻击检定、属性检定或豁免检定时，你可以用一个反应并消耗2术法点骰一次1d4，再将结果用作加值或减值（由你决定）加到目标生物的检定结果中。
你可以在看到检定结果后使用该特性，但必须在这次检定生效前声明。</t>
  </si>
  <si>
    <t>催眠凝视</t>
  </si>
  <si>
    <t>从第2级你选择该学派起，你可以用轻柔的语言和魅惑的目光来施展魔法奴役其他生物。
作为一个动作，你指定身边5尺范围内一个你能看见的生物。
如果该生物能看见你或者能听到你的声音，则其必须进行一次对抗你法师法术豁免DC的感知豁免，豁免失败则受你魅惑，其状态持续至你下一回合结束。
该被魅惑生物的速度降至0，并陷入失能状态。
外表上看该生物会是一副头晕目眩的样子。
在接下来的回合中，你可以用另一个动作来延续该效应，以将其持续时间再延续至你的下一回合结束。
然而，如果你移动到目标生物5尺以外，或者该生物变得不能看见你也不能听到你的声音，又或者目标生物受到伤害时，该效应将提前终止。
如果该效应终止，或者该生物在最初的豁免中成功，则你将无法对这个生物再使用该特性，直至你完成一次长休。</t>
  </si>
  <si>
    <t>思维砥石</t>
  </si>
  <si>
    <t>先祖复仇</t>
  </si>
  <si>
    <t>剑舞</t>
  </si>
  <si>
    <t>强力召唤</t>
  </si>
  <si>
    <t>6级起，你获得了召唤强力野兽和精类的能力。
任何你法术召唤或创造出的野兽或精类获得两种好处：
该生物出现时具有比正常情况下更多的生命值：它具有的每个HD会多出2点额外的生命值。
在克服对于非魔法攻击和伤害的免疫和抗力时，来自该生物天生武器的伤害被视为是魔法的。</t>
  </si>
  <si>
    <t>复仇之魂</t>
  </si>
  <si>
    <t>第15级起，你立下仇敌誓言时所宣誓之存在赐予你更大的力量以击倒敌人。
一个受你仇敌誓言影响的生物发动攻击时，如果其身处你的近战武器攻击范围内，则你就可以用你的反应对其发动一次近战武器攻击。</t>
  </si>
  <si>
    <t>位面战士</t>
  </si>
  <si>
    <t>3级起，你学会通过吸取多元宇宙的能量来强化你的攻击。
以一个附赠动作，选择一名在你30尺范围内对你可见的角色，这回合你对其的下一次武器攻击造成的伤害变成力场伤害，且目标额外受到来自于该攻击的1d8力场伤害，当你的游侠等级到达11级时，额外伤害变成2d8。</t>
  </si>
  <si>
    <t>法术窃贼</t>
  </si>
  <si>
    <t>第17级起，你获得盗取其他施法者施法知识的能力。
当一个生物施展的一个法术以你为目标，或其法术效应范围包含你所在区域时，你可以立即用你的反应强迫该生物以其施法关键属性调整值进行一次豁免。
其DC等同于你的法术豁免DC。
若其豁免失败，则你取消该法术对你的效应。
如果该法术至少为1环且属于你可以施展的环阶（但不需要是法师法术），则你还可以盗取该法术的知识。
在接下来的8小时内，你视为习得该法术且能用你的法术位施展该法术。
而目标生物则无法施展该法术直至8小时过去。
你必须完成一次长休后才能再次使用该特性。</t>
  </si>
  <si>
    <t>法术轰击</t>
  </si>
  <si>
    <t>第18级起，你法术中的伤害性能量极度扩张。
你在为法术进行伤害掷骰时，如果其中的任何一粒骰子掷出最大值，则选择这些骰子之一再骰一次，并将其结果加在伤害数值上。
你每回合只能使用一次该特性。</t>
  </si>
  <si>
    <t>直觉魅惑</t>
  </si>
  <si>
    <t>第6级起，一个身处你周边30尺范围内你能看见的生物对你发动攻击检定时，你可以用你的反应来偏转本次攻击，前提是必须有另一生物在本次攻击的攻击范围内。
攻击者必须进行一次对抗你法师法术豁免DC的感知豁免。
豁免失败则攻击者必须转而攻击距离他最近的生物（不包括你或他自身）。
如果有多个目标离他的距离相等且都为最近，则攻击者可以从中自选一个攻击对象。
如果攻击者豁免成功，则你将无法对这个生物在使用该特性，直至你完成一次长休。
你必须在攻击确认命中与否前使用该特性。而免疫魅惑的生物也同样免疫该特性。</t>
  </si>
  <si>
    <t>光耀武器</t>
  </si>
  <si>
    <t>光冕</t>
  </si>
  <si>
    <t>精魂守卫</t>
  </si>
  <si>
    <t>10级起，你的精魂图腾会守护那些你用你的魔法呼唤出的野兽和精类。
当一个你以一道法术召唤或创造的野兽或精类在你的精魂图腾光环内结束其回合时，该生物恢复等于你德鲁伊等级一半的生命值。</t>
  </si>
  <si>
    <t>复仇天使</t>
  </si>
  <si>
    <t>第20级起，你可以化身为复仇的天使。
你可以使用动作实行这种转变，并在接下来的1小时内获得以下增益：
你背生双翼，获得60尺飞行速度。
你散发出一个30尺半径范围的威胁灵光。
在一次战斗中，任何敌对生物第一次进入灵光范围，或者在灵光范围内开始其回合时，都必须进行一次感知豁免。
豁免失败者将在接下来的1分钟陷入对你的恐慌状态，直至受到伤害。
对因此陷入恐慌的生物所进行的任何攻击检定都具有优势。
你必须完成一次长休后才能再次使用该特性。</t>
  </si>
  <si>
    <t>灵界漫步</t>
  </si>
  <si>
    <t>在7级时，你学会如何进入灵界位面。
以一个附赠动作，你能够以这个特性不消耗法术位施放同游灵界，但是这个法术在当前回合结束时结束，你使用该特性后，你无法再次使用直到你进行完一次短休或长休。</t>
  </si>
  <si>
    <t>听声辨谎</t>
  </si>
  <si>
    <t>当你在3级选择此范型时，你的双耳变得锐利，能发现谎言。
当你进行一次感知（洞察）检定来察觉一个生物是否在说谎时，你可以将d20投中7或更低的结果都视为8。</t>
  </si>
  <si>
    <t>神圣魔法</t>
  </si>
  <si>
    <t>你对于神力的联系允许你学习通常与牧师职业相关的法术。
当你的施法特性让你学会一个术士戏法或一个1级或更高级的术士法术时，在术士法术列表之外，你可以从牧师法术列表中选择新法术。
除此之外，你必须满足选择该法术的所有限制，而它对你而言成为一个术士法术。
此外，选择一种对你神力来源的亲和力：善、恶、守序、混乱或中立。
你可以根据这个关联，学习一个额外的法术，如下所示。
这对你来说是一个术士法术，但它不与你术士法术的数量有关。
如果你以后替换了这个法术，你必须用牧师的法术列表来替换它。
亲和力——法术
善良：治疗伤口
邪恶：造成伤口
秩序：祝福术
混乱：灾祸术
中立：防护善恶</t>
  </si>
  <si>
    <t>分裂附魔</t>
  </si>
  <si>
    <t>第10级起，你施展一个以单一生物为目标的1环或更高环阶的附魔系法术时，可以为该法术指定第二个目标。</t>
  </si>
  <si>
    <t>连射武器</t>
  </si>
  <si>
    <t>风暴之魂</t>
  </si>
  <si>
    <t>剑舞大师</t>
  </si>
  <si>
    <t>自然领域法术</t>
  </si>
  <si>
    <t>牧师等级——法术
1st——化兽为友、动物交谈
3rd——树肤术、荆棘丛生
5th——植物滋长、风墙术
7th——支配野兽、擒抱藤
9th——疫病虫群、树跃术</t>
  </si>
  <si>
    <t>忠诚召唤</t>
  </si>
  <si>
    <t>从14级开始，你通联的自然精魂会在你最为无助的时候保护你。
若你的生命值降到0，或非自愿地变得失能，你可以立即获得召唤野兽法术的好处，如同它是以一个9级法术位施展的那样。
它召唤出四只由你选择的、挑战等级2或更低的野兽。
被召唤的野兽出现在你周围20英尺内。
如它们没有从你那里获得命令，它们会保护你免受伤害并攻击你的敌人。
此法术持续1小时，无需专注，或直到你解消它（无需动作）。
一旦你使用了此特性，你无法再次使用它，直到你完成了一次长休息为止。</t>
  </si>
  <si>
    <t>火蛇利牙</t>
  </si>
  <si>
    <t>圣武士等级——法术
3——艾嘉西斯之铠，命令术
5——人类定身术，灵体武器
9——降咒，恐惧术
13——支配野兽，石肤术
17——死云术，支配人类</t>
  </si>
  <si>
    <t>闪现打击</t>
  </si>
  <si>
    <t>在11级时，你能够在眨眼之间穿梭于两个位置。
当你进行攻击动作时，你能够在每一次攻击前传送10尺到一片对你可见的空地上。
如果你用一个动作攻击了至少两名不同的角色，你可以额外攻击一次第三名角色。</t>
  </si>
  <si>
    <t>细致入微</t>
  </si>
  <si>
    <t>3级起，你可以使用附赠动作来进行一次感知（观察）检定来侦测到一个隐藏的生物或物体，或者是进行一次智力（调查）检定来揭示和破译线索。</t>
  </si>
  <si>
    <t>众神眷恩</t>
  </si>
  <si>
    <t>从1级起，神圣力量指引着你的命运。
若你未通过一次豁免检定或在一次攻击检定中失手，你可以投2d4，并将它加到总值上，这可能会改变结果。
一旦你使用了此特性，你无法在完成一次短休息或长休息前再次使用它。</t>
  </si>
  <si>
    <t>编演记忆</t>
  </si>
  <si>
    <t>第14级起，你获得让生物无法认识到你对其魔法影响的能力。
你施展一个可以魅惑一个或更多生物的附魔系法术时，可以改变某一个生物的认识，以令其无法察觉自己已经被魅惑。
此外，在法术持续时间结束前，你有一次机会可以用你的动作尝试修改被指定生物的记忆，让他忘记被魅惑期间的一些记忆。
该生物必须进行一次对抗你法师法术豁免DC的智力豁免，豁免失败则其失去一定小时的记忆，其数值为1＋你的魅力调整值（至少为1）。
你可以选择让目标忘记更短时间内的记忆，而所忘记记忆的长度不能超过该附魔法术的持续时间。</t>
  </si>
  <si>
    <t>复制魔法物品</t>
  </si>
  <si>
    <t>先决条件：见下
使用此注法，你能够复制一个特定的魔法物品。
你能够多次学习此注法；每次这样做时，你需要从下面的可复制魔法物品表中选择一个不同的魔法物品。
如果表格的标题中有一个等级，那么你必须到达该等级才能在这个表格中选择一个魔法物品。
另外，你也可以选择一个游戏中存在且并非卷轴或药水的普通级魔法物品。
在表格中，物品的条目会告诉你该项目是否需要调谐。
有关该物品的更多信息，包括制作该物品所需的物品类型，请参阅《地下城主指南》中的物品描述。
复制魔法物品（2级奇械师）——调谐
炼金壶——否
次元袋——否
水下呼吸帽——否
夜视镜——否
攀爬绳——否
传讯石——否
侦测魔法魔杖——否
探秘魔杖——否
复制魔法物品（6级奇械师）——调谐
精灵靴——否
精灵斗篷——是
蝠鲼斗篷——否
魅惑镜片——是
窃贼手套——否
显像提灯——否
颤栗乐笙——否
水行戒指——否
复制魔法物品（10级奇械师）——调谐
跳跑靴——是
雪地之靴——是
射手护腕——是
护盾胸针——是
防护斗篷——是
鹰眼镜片——是
食人魔力量手套——是
辟矢夺箭手套——是
运动健将手套——是
易容帽——是
智力头带——是
心灵感应头盔——是
读心勋章——是
适应项链——是
愈合护符——是
唤鼠乐笙——是
艾罗娜的箭袋——否
跳跃戒指——是
心灵护盾戒指——是
蛛行鞋——是
飞翼靴——是
复制魔法物品（14级奇械师）——调谐
健康护符——是
山丘巨人之力腰带——是
浮空靴——是
速度之靴——是
防御护腕——是
蝙蝠斗篷——是
次元镣铐——否
真视宝石——是
音爆号角——否
自由行动戒指——是
防御戒指——是
公羊戒指——是</t>
  </si>
  <si>
    <t>风暴之盾</t>
  </si>
  <si>
    <t>心灵之刃</t>
  </si>
  <si>
    <t>自然侍僧</t>
  </si>
  <si>
    <t>孢子结社法术</t>
  </si>
  <si>
    <t>你和真菌间形成了共生连接，而你踏入生死循环的能力为你带来了特定的法术。
在2级时，你学会戏法寒冷之触。
在3级，5级，7级，和9级你获得下表：孢子之环法术中对应等级列出的法术。
一旦你获得了这些法术之一，你总是准备了该法术，而其不计入你每天可准备的法术的限额中。
若你获得了一个没有出现在德鲁伊法术列表中的法术，该法术对你而言是一个德鲁伊法术。
德鲁伊等级 法术
3级 遗体防腐，目盲/耳聋术
5级 操纵死尸，气化形体
7级 枯萎术，困惑术
9级 死云术，疫病术</t>
  </si>
  <si>
    <t>第3级时，你学会以武斗技术施展法术的能力。
参考第10章的施法规则，以及第11章的法师法术列表。</t>
  </si>
  <si>
    <t>四雷拳</t>
  </si>
  <si>
    <t>你可以消耗2点气施展雷鸣波。</t>
  </si>
  <si>
    <t>在3级选择本誓言时，你获得以下两种引导神力选项。
引导神力如何运作，参见神圣誓约职业特性。
征服威压：你可以使用你的引导神力来发出一阵可怕的威压。
以一个动作，你强迫每个处于你周围30英尺内、你能看见的、由你选择的生物各进行一次感知豁免检定。
若豁免失败，目标变得恐慌于你，持续1分钟。变得恐慌的生物可以在其每个回合的结束时重复此豁免检定，成功则结束其身上的此效果。
神助打击：你可以使用你的引导神力来以超自然的精确性进行打击。
当你进行一次攻击检定时，你可以使用你的引导神力以在此检定中得到+10加值。
你在你看到掷骰后进行决定，但需要在DM宣布此攻击命中与否前声明。</t>
  </si>
  <si>
    <t>虚体防御</t>
  </si>
  <si>
    <t>15级时，你的空间传送能力能让你在战斗中流转于空间边缘以减少伤害。当你受到一次攻击伤害时，你可以用你的反应来给予你对那次攻击全部伤害的抗性在这一回合。</t>
  </si>
  <si>
    <t>战斗洞察</t>
  </si>
  <si>
    <t>3级时，你得到了解到一个敌人的战术并加以反制的能力。
以一个附赠动作，你对于一个你能看见的，并非失能的生物进行一次感知（洞察）检定，对抗目标的魅力（欺瞒）检定。
若你成功，你可以在你并未对该生物具有优势时对他发动偷袭攻击，但在你的攻击骰有劣势时不行。
这个效果持续1分钟或直到你成功的对另一个目标使用了战斗洞察为止。</t>
  </si>
  <si>
    <t>强效治疗</t>
  </si>
  <si>
    <t>6级起，你可以通过神圣之力增幅治疗法术。
当你或你的盟友在你周围5英尺内掷骰子来决定法术恢复hp点数的时候，只要你没有失能，你便可以花费1个术法点，重扔其中任意数量的骰子。
每轮只能使用一次该能力。</t>
  </si>
  <si>
    <t>塑能学者</t>
  </si>
  <si>
    <t>从第2级你选择该学派起，你向法术书中抄写塑能系法术的时间和金钱花费减半。</t>
  </si>
  <si>
    <t>斥力之盾</t>
  </si>
  <si>
    <t>狂怒风暴</t>
  </si>
  <si>
    <t>第1级起，你获得重甲的熟练项。</t>
  </si>
  <si>
    <t>孢子光晕</t>
  </si>
  <si>
    <t>从2级起，你被无形的坏死的孢子包围着，直到你把他们释放到附近的生物上。
当一个生物进入你的10英尺内时，或在其中开始其回合时，你可以使用反应来激发孢子光晕特性。
造成1d4点暗蚀伤害，除非其通过一个等同于你法术DC的体质豁免。
此伤害在6级时提高到1d6，在10级时提高到1d8，在14级时提高到1d10。</t>
  </si>
  <si>
    <t>你从法师法术列表中选择两个戏法作为已知法术。
第10级时，你再获得一个额外的法师戏法。</t>
  </si>
  <si>
    <t>凝气刚拳</t>
  </si>
  <si>
    <t>征服光环</t>
  </si>
  <si>
    <t>从7级起，只要你并未失能，你便弥漫出一阵威吓的灵光。
光环包括你的格子，从你向各个方向延伸10英尺，它会被全掩蔽所阻挡。
若一个生物恐慌于你，当其处于此光环内，其速度降为0，若其在光环内开始其回合，则受到等于你圣武士等级一半的心灵伤害。
在18级，此光环的距离增加到30英尺。</t>
  </si>
  <si>
    <t>怪物杀手魔法</t>
  </si>
  <si>
    <t>3级起，你学会一个额外法术当你到达指定游侠等级时，如怪物杀手法术列表所示。
这些法术对你视为游侠法术，它不计入你的已知法术总数中。
游侠等级——法术
3级——防护善恶
5级——诚实之域
9级——防护法阵
13级——放逐术
17级——怪物定身术</t>
  </si>
  <si>
    <t>镇定之眼</t>
  </si>
  <si>
    <t>9级时，你可以在进行任何感知（观察）检定或智力（调查）检定中得到优势，只要你在同一回合中移动不超过一半的速度。</t>
  </si>
  <si>
    <t>神圣之翼</t>
  </si>
  <si>
    <t>14级起，你可以使用一个附赠动作，在你的背部展现一对光翼。
当光翼展现时，你具有30ft的飞行速度。
它们会一直展现着，直到你失能、死亡、或者你以一个附赠动作遣散。
你为你神圣魔法的特性所选择的亲和力，决定了光翼的外观：鹰翼属于善良或守序，蝠翼属于邪恶或混乱，中立则是蜻蜓的翅膀。</t>
  </si>
  <si>
    <t>法术塑形</t>
  </si>
  <si>
    <t>第2级起，你的塑能系法术作用范围里可以保留一小部分相对安全的区域。
你施展某个塑能系法术时，如果该法术的效应影响你能看见的其他生物，则你可以从中指定一定数量的生物作特殊处理。
被指定生物的数量等于1＋该法术的环阶，而被指定生物进行该法术豁免时将直接判为成功，且豁免成功伤害减半的法术此时也不对该生物造成任何伤害。</t>
  </si>
  <si>
    <t>战狂道途</t>
  </si>
  <si>
    <t>低语光环</t>
  </si>
  <si>
    <t>引导神力：魅惑动植物</t>
  </si>
  <si>
    <t>一体共生</t>
  </si>
  <si>
    <t>在2级时，你获得了向体内的孢子引导魔法的能力。
当你使用你的荒野形态特性时，你可以唤醒这些孢子，而非进行变形。
当你这样做的时候，你每在此职业上具有一个等级便获得4点临时生命值。
当你这样做时，你获得下列好处：
当你的孢子光晕特性造成伤害时，额外骰一个伤害骰加在原有的伤害骰上。
并且你的近战武器攻击对任何被击中的目标造成额外的1d6点暗蚀伤害。
这些好处持续10分钟，或直到你失去所有临时生命值或再次使用了你的荒野形态。</t>
  </si>
  <si>
    <t>“奥法骑士施法能力”表中列出了你用以施展你的法师法术的1环及更高环阶法术位数量。
施展这些法术时，你必须同时消耗一个不低于该法术环阶的法术位。
而已消耗的法术位可以通过完成一次长休进行恢复。
例如，若你已知1环法术护盾术，并且拥有一枚可用的1环法术位和一枚可用的2环法术位，则你可以用两者之一施展护盾术。</t>
  </si>
  <si>
    <t>轻蔑呵斥</t>
  </si>
  <si>
    <t>从15级起，那些胆敢击中你的人，将在心灵上因为无礼而受到惩罚。
当一个生物以一次攻击击中你时，若你并未失能，该生物受到等于你魅力调整值（最小为1）的心灵伤害。</t>
  </si>
  <si>
    <t>猎人感知</t>
  </si>
  <si>
    <t>3级起，你获得了观察生物并魔法性地分析出最佳狩猎方式的能力。
以一个动作，选择一名60尺范围内对你可见的角色。你立刻知晓该角色的伤害免疫，抗性和易伤。
如果该角色被预言系魔法覆盖，你感觉它没有任何伤害免疫，抗性和易伤。
你能使用该特性的次数等同于你的感知调整值（至少为1）。
你重新获得所有使用过的次数当你完成一次长休时。</t>
  </si>
  <si>
    <t>精准之眼</t>
  </si>
  <si>
    <t>13级时，你得到侦测魔法欺瞒的能力。
以一个动作，你感知到你周围30英尺内的幻术存在，不在天生形态下的变形生物，和其他意在欺瞒感官的魔法，前提是你没有目盲或耳聋。
你能了解到了有一个效果正在试图欺骗你，不过你并没有得到对其后所掩盖的真相和对他真实本质的特殊洞察力。
你可以使用这个功能的次数等于你的感知调整值（至少一次），当你完成一次长休，你重新获得所有次数。</t>
  </si>
  <si>
    <t>神秘复原</t>
  </si>
  <si>
    <t>18级起，你具备了克服重伤的能力。
当你的hp不足一半时，以一个附赠动作，你可以获得等同于你一半生命值的生命。
一旦你使用了这个特性，你就不能再使用它，直到你完成一次长休息。</t>
  </si>
  <si>
    <t>强力戏法</t>
  </si>
  <si>
    <t>第6级起，你造成伤害的戏法可以影响本可免受戏法效应影响的生物。
生物对抗你戏法的豁免成功时，它仍将受到一半伤害（若有），但仍不会受该戏法的其他效应影响。</t>
  </si>
  <si>
    <t>回力武器</t>
  </si>
  <si>
    <t>战狂装甲</t>
  </si>
  <si>
    <t>阴暗学识</t>
  </si>
  <si>
    <t>抑制元素</t>
  </si>
  <si>
    <t>第6级起，身处你或身处你身边30尺内的一个生物受到强酸，冷冻，火焰，闪电或雷鸣伤害时，你可以用你的反应使该生物在本次伤害过程中对该伤害类型具有抗性。</t>
  </si>
  <si>
    <t>真菌感染</t>
  </si>
  <si>
    <t>在6级时，你的孢子获得了感染并活化遗体的能力。
如果一个小型或中型的野兽或类人生物在你十尺内死亡，你可以以一个反应动作活化它，令它站起并具有1点生命值。
该生物使用MM中僵尸的属性，它将持续活化状态1小时，之后会倒下死去。
在战斗中，它的回合紧接着你的。
它遵从你的精神指令，而它只能进行攻击动作，进行一次近战攻击。
该特性的可用次数等于你的感知调整值（至少一次）。
而已消耗的特性使用次数则可以通过完成一次长休进行恢复。</t>
  </si>
  <si>
    <t>你习得三个自选的1环法师法术，其中两个必须从防护系和塑能系中选择。
表格“奥法骑士施法能力”中“已知法术”一栏记录了你获得更多已知法术时的相应等级。
你只能选择防护系或塑能系法术，且所获得法术的环阶不能超过你所拥有的最高法术位环阶。
例如，如果你在本职业达到第7级，则可以学习一个新的1环法术或2环法术。
在第8、14和20级时，你可以学习任何学派的法术。
你每次提升本职业等级时，可以将一个已知法术替换为另一个法师法术。
这个新法术的环阶不能超过你所拥有的最高法术位的环阶，且必须从防护系或塑能系中选择（除非你替换的是第3、第8、第14和第20级时习得的任何学派法术）。</t>
  </si>
  <si>
    <t>不移胜者</t>
  </si>
  <si>
    <t>在20级时，你得到驾驭特异武艺的能力。
以一个动作，你可以魔法性的变成征服的化身，获得下述的好处，持续1分钟：
你对于所有伤害得到抗力。
当你在你的回合进行攻击动作时，你可以进行一次额外的攻击，作为该动作的一部分。
你的近战武器攻击在掷出19或20时即可造成重击。
一旦你使用了此特性，直到你完成了一次长休息后不能再使用它。</t>
  </si>
  <si>
    <t>狩猎开始</t>
  </si>
  <si>
    <t>3级起，你能够专注于你的一名敌人，来增加你对它的伤害。
以一个附赠动作，你选择一名60尺范围内对你可见角色作为该特性的目标。
每回合你以一次武器攻击第一次击中该目标，它额外受到1d6的武器伤害。
该收益持续到你完成一次短休或者长休。
如果你选择一名不同的目标，它会提前结束。</t>
  </si>
  <si>
    <t>识破弱点</t>
  </si>
  <si>
    <t>17级时，你学会通过认真的研究一个生物的战术和移动来找到他的弱点的能力。
当你的战斗洞察对一个生物使用时，你对该生物的偷袭伤害提高3d6。</t>
  </si>
  <si>
    <t>幽暗之瞳</t>
  </si>
  <si>
    <t>1级起你获得120尺黑暗视觉。
当你在该职业3级时，你掌握了黑暗术，这不会占用你术士已知法术数量。
你可以用2点术法点或1个法术位来释放。
当你用法术点施法时，你能够看穿该法术所制造的黑暗。</t>
  </si>
  <si>
    <t>强效塑能</t>
  </si>
  <si>
    <t>第10级起，你施展任何塑能系法师法术时，可以将你的智力调整值加到该法术的其中一次伤害掷骰中。</t>
  </si>
  <si>
    <t>法力恢复戒指</t>
  </si>
  <si>
    <t>凶蛮无羁</t>
  </si>
  <si>
    <t>潜能微尘</t>
  </si>
  <si>
    <t>扩散孢子</t>
  </si>
  <si>
    <t>在10级时，你获得了在一片区域内散布致命的孢子的能力。
当你的一体共生特性处于开启状态下，你可以用一个附赠动作，将真菌孢子抛向至多30英尺外，它们将漂浮在那里10英尺见方的空间中，持续1分钟。
若你再次使用此特性，或使用一个附赠动作取消掉，或你的一体共生特性不再起作用，这片孢子将提前消失。
任何在此空间内开始其回合的生物受到你的孢子光晕伤害，除非其通过一个等同于你法术DC的体质豁免，一个生物每轮只能受到一次该伤害。
只要这片孢子存在，你就不能使用你孢子光晕的反应动作。</t>
  </si>
  <si>
    <t>你通过研究和记忆学习魔法，因此智力是你施展法师法术的关键属性。
每当你的法术需要施法关键属性时均指向你的智力值。
而你法师法术的豁免DC和攻击检定，则使用你的智力调整值。
法术豁免DC＝8＋你的熟练加值＋你的智力调整值
法术攻击调整值＝你的熟练加值＋你的智力调整值</t>
  </si>
  <si>
    <t>圣武士等级——法术
3——庇护术，睡眠术
5——安定心神，人类定身术
9——法术反制，催眠图纹
13——欧提路克弹力法球，石肤术
17——怪物定身术，力墙术</t>
  </si>
  <si>
    <t>卓越防守</t>
  </si>
  <si>
    <t>7级时，对于你的猎物对你的身体和精神的攻击，你拥有额外韧性。
无论何时你的狩猎开始特性目标使你做出一个豁免投和你做一次技能检定来脱离目标的擒抱，加1d6到你的那次投掷上。</t>
  </si>
  <si>
    <t>阴谋大师</t>
  </si>
  <si>
    <t>从3级起，你可以得到易容工具、文书伪造工具和一种自选赌博工具的熟练。
你同时可以学会两种自选语言。
此外，如果你听到一个生物讲话长于1分钟，你可以确切无误地模仿他的语气和口音。
这允许你模仿来自某个特殊地区的特别口音，只要你知晓这种语言。</t>
  </si>
  <si>
    <t>终焉之力</t>
  </si>
  <si>
    <t>1级起，存在于生和死的朦胧状态中使得你难以被击败。
当生命值被降至0点时，你可以通过一个DC=该次所受伤害+5的魅力豁免。
若豁免成功，作为代替你的生命值被降至1点。
若该次伤害为光耀或重击时你不可使用此能力。
当你通过豁免后直到下一次长休前不能再使用此能力。</t>
  </si>
  <si>
    <t>超限导能</t>
  </si>
  <si>
    <t>第14级起，你可以为你的简单法术增强力量。
施展一个造成伤害的1~5环法师法术时，你可以让法术的伤害直接取其最大值。
该特性不能作用于戏法。
首次发动该特性时，你并不会承受任何减益。
如果你在完成一次长休前再次使用此特性，则你将在施法完成后立刻受到等于该法术每环阶2d12点黯蚀伤害。
你在完成一次长休前，每再使用一次该特性，每环阶的黯蚀伤害就增加1d12。这种反噬伤害将无视任何的抗性和免疫。</t>
  </si>
  <si>
    <t>当你在第三级选择此专业时，你获得炼金工具的熟练。
如果你已经拥有此熟练，作为代替，你能获得另一种工匠工具的熟练。</t>
  </si>
  <si>
    <t>战狂冲锋</t>
  </si>
  <si>
    <t>造物表演</t>
  </si>
  <si>
    <t>自然大师</t>
  </si>
  <si>
    <t>第17级起，你获得命令动物和植物生物的能力。
当生物受你的魅惑动植物特性魅惑时，你可以在自己回合内执行一个附赠动作并发出一个口头指令，而所有这些受魅惑生物都将在其下一回合执行该指令。</t>
  </si>
  <si>
    <t>真菌之躯</t>
  </si>
  <si>
    <t>在14级，你体内的真菌改变了你：你不再会被目盲，耳聋，恐慌，或中毒；若一次攻击对你造成重击，它不会对你造成额外伤害除非你处于失能状态。</t>
  </si>
  <si>
    <t>武器联结</t>
  </si>
  <si>
    <t>第3级时，你习得一种让你和你的武器建立魔法联结的仪式。
仪式耗时1小时，且可在短休时进行。
仪式过程中武器必须在你的触及范围内，直至仪式结束前，你都要碰触该武器以完成联结。
联结建立后，只要你不处于失能状态，使用联结武器时就不会被缴械。
如果联结武器与你处于同一位面，则你可以用一个附赠动作召唤其回到你手中。
你至多可以拥有两把建立联结的武器，但一个附赠动作只能召唤一把武器。
如果你试图和第三把武器建立联结，则必须与已经联结的一把武器取消联结。</t>
  </si>
  <si>
    <t>在3级选择本誓言时，你获得以下两种引导神力选项。
引导神力如何运作，参见神圣誓约职业特性。
和平使节：你可以使用你的引导神力来以神圣力量增强自己的存在。
以一个附赠动作，你为自己在接下来的10分钟内进行的下次魅力（说服）检定中提供+5加值。
斥喝暴力：你可以使用你的引导神力来斥喝那些使用暴力的人。
当一个处于你周围30英尺内的敌人以一次攻击对一个你之外的生物造成伤害时，以一个反应，你强迫攻击者进行一次感知豁免检定。
检定失败则攻击者受到等同于其刚刚造成的伤害的光耀伤害。
成功则受到一半伤害。</t>
  </si>
  <si>
    <t>魔法克星</t>
  </si>
  <si>
    <t>11级时，你获得打断其他人的魔法的能力。
60尺内，当你看到一名角色使用法术或者传送，你可以用你的反应魔法性地来尝试打断它。
角色必须成功通过一个难度等同于你的施法DC的感知豁免，否则它的法术和传送失败并浪费。
你使用该特性后，不能再次使用它直到你完成一次短休或者长休。</t>
  </si>
  <si>
    <t>战术大师</t>
  </si>
  <si>
    <t>从第3级开始，你可以把协助动作作为附赠动作使用。
此外，当你使用协助动作帮助一个盟友攻击一个生物时，如果目标可以看到你或者听到你的话，攻击的目标可以在30尺以内，而不是你的5尺之内。</t>
  </si>
  <si>
    <t>凶兆猎犬</t>
  </si>
  <si>
    <t>6级时，你获得一种能力，你能够驱使嚎叫的幽暗生物来折磨你的敌人的。
你可以以一个附赠动作消耗3点术法点选择一个120尺内你可见的生物作为目标，用魔法召唤一头凶兆猎犬的猎犬去猎杀它。
凶兆猎犬用恐狼的模板但有以下变化：
猎犬的体型由大体型变为中等体型，猎犬视作怪兽而不是野兽。
当猎犬被召唤时获得等同于你术士等级一半的临时生命值。
猎犬可以像穿越困难地形一样穿过其他生物或物体。
如果当猎犬的回合结束时处于某个物体内则会受到5点的力场伤害。
当猎犬的回合开始时，自动知晓猎物的所在。
如果目标处于躲藏状态，它对猎犬来说不再处于该状态。
猎犬被召唤时出现在目标30尺内一个由你选择的空间。
为猎犬投掷先攻。
当猎犬行动时，它只能以最短路径冲向目标猎物，以及只能在攻击目标猎物时执行动作。
猎犬可以使用借机攻击，但对象只能是目标猎物。
此外，当凶兆猎犬在目标猎物5尺内时，目标对你所释放的任何法术的豁免上都承受劣势。
凶兆猎犬会在它自己降为0血、猎物降为0血或5分钟后消失。</t>
  </si>
  <si>
    <t>幻术学者</t>
  </si>
  <si>
    <t>从第2级你选择该学派起，你向法术书中抄写幻术系法术的时间和金钱花费减半。</t>
  </si>
  <si>
    <t>炼金师法术</t>
  </si>
  <si>
    <t>钉刺反冲</t>
  </si>
  <si>
    <t>活化表演</t>
  </si>
  <si>
    <t>风暴领域法术</t>
  </si>
  <si>
    <t>牧师等级——法术
1st——云雾术、雷鸣波
3rd——造风术、粉碎音波
5th——召雷术、雪雨暴
7th——操控水体、冰风暴
9th——湮灭波、疫病虫群</t>
  </si>
  <si>
    <t>星图</t>
  </si>
  <si>
    <t>战争魔法</t>
  </si>
  <si>
    <t>第7级起，当你使用动作施展戏法时，可以用附赠动作发动一次武器攻击。</t>
  </si>
  <si>
    <t>护卫光环</t>
  </si>
  <si>
    <t>从7级起，你可以以自己的健康为代价保护盟友免受伤害。
当一个处于你10尺内的生物受到伤害时，你可以用一个反应动作，魔法性地使你代替该生物承受此伤害。
此特性不会传递任何该伤害可能附带的效果，该伤害也无法被任何方式减少。
在18级，此光环的距离增加到30英尺。</t>
  </si>
  <si>
    <t>杀手反制</t>
  </si>
  <si>
    <t>15级时，当你的猎物企图干扰你时你能够反击。
如果你的狩猎开始特性目标使你做出一个豁免投，你能够使用你的反应来对其做出一次武器攻击。
你在进行豁免检定前立刻做出该攻击。
如果你击中，你的豁免自动成功，否则只造成普通攻击效果。</t>
  </si>
  <si>
    <t>洞察力</t>
  </si>
  <si>
    <t>从第9级开始，如果你至少花1分钟观察或与战斗之外的其他生物进行交互，你可以了解到跟你自己的能力相比较的某些信息。
DM告诉你，在你选择的下列两个特征中，是否你的相等、优越或低等：
智力值
感知值
魅力值
职业等级（如果有的话）
如果你的DM允许，你也有可能知道这个生物的一段经历或者它的一个性格特征，如果它有的话。</t>
  </si>
  <si>
    <t>幽影漫步</t>
  </si>
  <si>
    <t>14级时，你获得在暗影间穿梭的能力。
当你处于微光或黑暗中时，以一个附赠动作你可以魔法地将自己传送至120尺内另一处未被占据并自己可见的微光或黑暗中。</t>
  </si>
  <si>
    <t>精通次级幻影</t>
  </si>
  <si>
    <t>从第2级你选择该学派起，你习得戏法次级幻影。
如果你已学会此戏法，则你可以学习另一个自选的法师戏法。
该戏法不计入你的已知戏法数目限制。
你施展戏法次级幻影时，可以在一次施法中同时创造出声音和影像。</t>
  </si>
  <si>
    <t>实验性灵药</t>
  </si>
  <si>
    <t>第1级起，你获得军用武器和重甲的熟练项。</t>
  </si>
  <si>
    <t>星耀形态</t>
  </si>
  <si>
    <t>秘法打击</t>
  </si>
  <si>
    <t>第10级时，你习得用武器攻击削弱敌人对你法术抵抗能力的方法。
当你的武器攻击命中敌人后，直至你下一回合结束前，该生物对抗你下一个法术所进行的豁免检定具有劣势。</t>
  </si>
  <si>
    <t>风灵突进</t>
  </si>
  <si>
    <t>你可以消耗2点气施展造风术。</t>
  </si>
  <si>
    <t>守护之魂</t>
  </si>
  <si>
    <t>从15级起，神圣的实体在战斗中为你治疗伤口。
若你在战斗中结束你的回合时，剩余的生命值少于一半，且你未处于失能状态，则你恢复等于1d6+你圣武士等级一半的生命值。</t>
  </si>
  <si>
    <t>蜂聚集群</t>
  </si>
  <si>
    <t>从3级起，无形自然精魂形成的集群与你形影不离并会在战斗中对你施以援手。
直到你死亡，集群会存在于你的空间中，在你身上爬行或在你周身的空间里飞舞或窜动。
你决定集群的外观，或者你通过按照集群外观表格掷骰生成其外表。
群聚的昆虫、微小的枯枝怪、飞舞的群鸟、好动的皮克精
在你的回合中每回合一次，当你以一次攻击命中一个生物之后，你能让集群以以下一种方式助你一臂之力。
这次攻击的目标因集群受到1d6穿刺伤害。
这次攻击的目标必须成功通过对抗你法术DC的力量豁免检定否则被集群朝你选择的方向水平移动最多15尺。
你被集群朝着你所选择的方向水平移动5尺。</t>
  </si>
  <si>
    <t>误导</t>
  </si>
  <si>
    <t>从13级起，你的急才有时候能让另一个生物代替你承受攻击。
每当你成为一次攻击的目标，并且在你的5尺距离内有生物为你对抗这次攻击提供了掩蔽，你可以使用你的反应将这次攻击的目标转移给这个生物。</t>
  </si>
  <si>
    <t>幽暗形态</t>
  </si>
  <si>
    <t>18级时，你可以耗费6点术法点以一个附赠动作魔法地将自己转变为暗影形态。
在此形态中，你对除力场和光耀之外的所有伤害形势都具有抗性。
并且你可以像穿越困难地形一般地穿过其他生物或物体。
若回合结束时你处于某个物体内则会受到5点的力场伤害。
你能维持这种状态1分钟。
当你以一个附赠动作来解除暗影形态、处于失能或死亡时会提前结束状态效果。</t>
  </si>
  <si>
    <t>易变幻象</t>
  </si>
  <si>
    <t>第6级起，你施展持续时间不少于1分钟的幻术系法术时，可以用你的动作改变幻象的外形（仍需遵守相应法术的描述），前提是你必须可以看见该幻象。</t>
  </si>
  <si>
    <t>炼金术掌握</t>
  </si>
  <si>
    <t>狂野浪潮</t>
  </si>
  <si>
    <t>巧舌如簧</t>
  </si>
  <si>
    <t>风暴狂怒</t>
  </si>
  <si>
    <t>宇宙预兆</t>
  </si>
  <si>
    <t>秘法冲锋</t>
  </si>
  <si>
    <t>第15级时，你可以在使用动作如潮时传送至多30尺距离。
传送的目的地必须是你能看到且未被占据的空间。
你可以在使用动作如潮提供的额外动作之前或之后进行传送。</t>
  </si>
  <si>
    <t>身化长流</t>
  </si>
  <si>
    <t>救赎使节</t>
  </si>
  <si>
    <t>在20级时，你成为了和平的化身，使你获得下述好处：
你对于其他生物造成的所有伤害具有抗力（它们的攻击、法术、和其他效果）。
当一个生物以一次攻击对你造成伤害时，它受到等同于其对你造成的一半伤害的光耀伤害。
当你对一个生物攻击、施法或以此特性以外的方式造成伤害，那么在完成一次长休息之前此特性对该生物无效。</t>
  </si>
  <si>
    <t>心灵欺骗</t>
  </si>
  <si>
    <t>从17级起，除非你允许，否则你的思想不能被心灵感应或者其他能力阅读。
如果你使用魅力（欺瞒）检定并在与思想阅读者的感知（洞悉）检定的对抗之中胜出，你还可以伪造思想使对方信以为真。
此外，不管你说什么，你总是可以选择让魔法判定你在说真话并显现出相应的迹象。
你也不会因为魔法效应的影响而被强迫说出真话。</t>
  </si>
  <si>
    <t>风语者</t>
  </si>
  <si>
    <t>从1级起，你操纵的奥术魔法浸染着风元素之力。
你可以听、说、读、写原初语。
（了解这种语言允许你了解这些说这种语言的种族，同时你说的话也被他们理解：水族语,气族语,火族语,土族语）。</t>
  </si>
  <si>
    <t>幻影化形</t>
  </si>
  <si>
    <t>第10级起，你可以如同本能反应般，瞬间创造出一个自身的幻象分身以应对危险。
当一个生物对你发动攻击检定时，你可以用你的反应，在攻击者和你之间插入你自身的幻象分身。
攻击者对你的攻击将直接判为未命中，幻象分身也随即消失。
你必须完成一次长休或短休后才能再次使用该特性。</t>
  </si>
  <si>
    <t>复原药剂</t>
  </si>
  <si>
    <t>振奋魔法</t>
  </si>
  <si>
    <t>扰神之词</t>
  </si>
  <si>
    <t>引导神力：毁灭狂怒</t>
  </si>
  <si>
    <t>第2级起，你可以用引导神力特性为自己装备无拘束的凶猛风暴之力。
当你造成闪电或雷鸣伤害时，可以使用引导神力使该伤害的伤害掷骰直接取最高值而无需掷骰。</t>
  </si>
  <si>
    <t>闪耀星座</t>
  </si>
  <si>
    <t>精通战争魔法</t>
  </si>
  <si>
    <t>第18级起，你执行施法动作时，可以用附赠动作发动一次武器攻击。</t>
  </si>
  <si>
    <t>飞炎击</t>
  </si>
  <si>
    <t>你可以消耗2点气施展燃烧之手。</t>
  </si>
  <si>
    <t>3rd  命令术，强制决斗。
5th  守护之链，诚实之域
9th  活力灵光，灵体卫士
13th 放逐术，信仰守卫
17th 威力法阵，指使术</t>
  </si>
  <si>
    <t>翻腾浪涌</t>
  </si>
  <si>
    <t>从7级起，你能将你的集群的一部分凝聚成一股集中的力量，来将你托起。
以一个附赠动作，你获得10尺飞行速度并且能悬浮在空中，该效应持续1分钟或直到你陷入失能状态。
你能使用该特性的次数等于你的熟练加值，而你在结束一次长休后重新获得所有消耗的次数。</t>
  </si>
  <si>
    <t>散兵战术</t>
  </si>
  <si>
    <t>从3级起，你在战斗中变得难以被压制。
当一个敌人在你周围5英尺内结束其回合时，你可以以一个反应移动至多你速度的一半。
此移动不会导致借机攻击。</t>
  </si>
  <si>
    <t>暴风魔法</t>
  </si>
  <si>
    <t>从1级起，你与风元素魔法紧密联系起来。
每当你在你自己的行动轮内施展一个并非戏法的法术时，你可以用附赠动作导致旋转的风元素飙风围绕着你。
此时你可以飞行10尺，而不引起借机攻击。</t>
  </si>
  <si>
    <t>亦真亦幻</t>
  </si>
  <si>
    <t>第14级起，你学会将暗影魔法编入幻术中的秘法，并以此使你的幻术获得半真实的效果。
你施展一个1环或更高环阶的幻术系法术时，可以选择幻象中一个非活化的非魔法物件，并让该物件化作真实。
你可以在自己回合中，相应法术持续时间内以一个附赠动作完成此事。
被指定的物件将在接下来1分钟内保持真实。
例如，你可以用幻术创造出一座桥梁横跨峡谷，而后将之化作真实以让你的队友在持续时间内穿行于桥面。
被化作真实的物件无法造成伤害，也无法以任何其他方式直接伤害任何事物。</t>
  </si>
  <si>
    <t>化学专家</t>
  </si>
  <si>
    <t>无常反冲</t>
  </si>
  <si>
    <t>不竭鼓舞</t>
  </si>
  <si>
    <t>雷鸣打击</t>
  </si>
  <si>
    <t>第6级起，当你对一个大型或更小体型的生物造成闪电伤害时，你还可以同时将其往远离你的方向推动至多10尺。</t>
  </si>
  <si>
    <t>灿若繁星</t>
  </si>
  <si>
    <t>魔射手学识</t>
  </si>
  <si>
    <t>在3级时，你作为精灵军事传统的研习者学会了魔法理论或者自然知识。
你从奥秘或者自然中选择一个技能获得熟练，而且从魔法伎俩或者德鲁伊伎俩中选择一个戏法并学会。</t>
  </si>
  <si>
    <t>清流鞭</t>
  </si>
  <si>
    <t>从3级起，若选取此誓言，你获得以下引导神力选项。
捍卫挑战：以一个附赠动作，你发出挑战逼迫其他生物与你战斗。
你可以选择30尺内任意数量你可以看见的生物，他们每一个都必须要通过一次感知豁免。
如果豁免失败，那个生物将不能自愿从你周围30尺范围离开。
如果你死亡，或者你失能，或者生物与你距离超过30尺，则此效果终结。
扭转局势：以一个附赠动作，你可以引导神力支撑受伤的生物继续战斗。
你可以选择你周围30尺内任意数量可以听见你说话的生物，如果他们生命值在一半以下，他们将立即恢复1d6+你的魅力调整值（最小为1点）的生命值。</t>
  </si>
  <si>
    <t>壮大集群</t>
  </si>
  <si>
    <t>从11级起，你的蜂聚集群通过以下方式变得更加强大：
蜂聚集群的伤害提升到d8。
如果一个生物在对抗被蜂聚集群移动的豁免检定中失败，你也能让集群将该生物击倒在地。
当你被蜂聚集群移动时，直到你下个回合开始它使你获得半身掩护。</t>
  </si>
  <si>
    <t>当你在3级时选择此范型时，你得到对于自然和生存技能的熟练。
当使用上述熟练进行的任何属性检定中，你的熟练加值加倍。</t>
  </si>
  <si>
    <t>风暴之心</t>
  </si>
  <si>
    <t>从6级起，你对闪电和雷鸣伤害获得抗力。
每当你施展一个1环或以上且造成闪电或雷鸣伤害的法术时，猛烈的魔法从你身体内爆发而出。
这次爆发导致所有10尺内你选择的可见生物（每次使用此能力都指定），都承受等于你术士等级一半的闪电或雷鸣伤害。</t>
  </si>
  <si>
    <t>死灵学者</t>
  </si>
  <si>
    <t>从第2级你选择该学派起，你向法术书中抄写死灵系法术的时间和金钱花费减半。</t>
  </si>
  <si>
    <t>当你在第三级选择此专业时，你获得木匠工具的熟练。
如果你已经拥有此熟练，作为代替，你能获得另一种工匠工具的熟练。</t>
  </si>
  <si>
    <t>掌控浪潮</t>
  </si>
  <si>
    <t>统一言说</t>
  </si>
  <si>
    <t>野火法术</t>
  </si>
  <si>
    <t xml:space="preserve">从2级起，你与野火精魂——一位兼具创生和毁灭的原初存在——之间的神秘连接业已形成。
当你在此职业到达特定等级时，你与精魂的连接使你获取了一些特定法术的使用权，就如野火结社法术列表所示。
一旦你获得了其中某个法术的使用权，你就会一直准备着它，且不计入你的每日准备法术上限。
如果你学会一个不在德鲁伊法术列表中的法术，该法术对你来说视作德鲁伊法术。
等级 - 扩展法术 
Lv.2 - 燃烧之手，疗伤术 
Lv.3 - 炽焰法球，灼热射线 
Lv.5 - 植物滋长，回生术 
Lv.7 - 生命灵光，火焰护盾 
Lv.9 - 焰击术，群体疗伤术 </t>
  </si>
  <si>
    <t>奥术射击</t>
  </si>
  <si>
    <t>在3级时，你学会在射击时施放一些特殊的魔法效果。
当你获得这个特性时，你学会两种你选择的奥术射击选项。
每个回合，当你以一个攻击动作的一部分来用短弓或者长弓射出箭矢时，你可以为你的箭矢挑选一个你拥有的奥术射击选项。
你可以在箭矢击中一名角色时决定是否使用该选项，除非该选项不包括一个攻击骰。
你拥有两次使用该特性的机会，而且你在完成一次短休或长休后重新获得所有被消耗的的使用次数。
你会获得一个额外的你选择的奥术射击选项当你到达一定战士等级时：7级，10级，15级和18级。
所有的选项在你成为18级战士时都会提升。</t>
  </si>
  <si>
    <t>神圣誓忠</t>
  </si>
  <si>
    <t>从7级起，如果一个在你周围5尺内的生物受到伤害，你可以使用你的反应魔法地代替目标生物承受这一次伤害，使目标不再受伤。
你不能用任何方式减少或者阻止这个伤害。</t>
  </si>
  <si>
    <t>群逸逃散</t>
  </si>
  <si>
    <t>从15级起，你能将自己散入集群来躲避危险。
当你受到伤害时，你能使用你的反应动作让自己活得对该次伤害的抗性。
你消失在自己的集群之中，然后传送至30尺内一个未被占据的空间，你在那里与自己的集群一同重新出现。
你能使用该特性的次数等于你的熟练加值，而你在结束一次长休后重新获得所有消耗的次数。</t>
  </si>
  <si>
    <t>优异灵活</t>
  </si>
  <si>
    <t>在9级时，你的行走速度增加10英尺。
若你具有攀爬或游泳速度，这个能力也会增加在这些速度上。</t>
  </si>
  <si>
    <t>风暴导向</t>
  </si>
  <si>
    <t>从6级起，你获得对你周边气象的微妙掌控。
如果正在下雨，你可以用一个动作，使你身边20尺半径的范围停止下雨。
你可以以一个附赠动作终止这一效果。
如果正在刮风，你可以每轮以一个附赠动作掌控你身边一百尺半径范围的风向。
风会保持吹往你指定的方向，直到你的下一个行动轮。
你无法改变风速。</t>
  </si>
  <si>
    <t>惧怖收割</t>
  </si>
  <si>
    <t>第2级时，你可以在用法术杀死敌人时汲取其生命能量。
你每回合有一次机会，在以一个环阶不低于1环的法术杀死一个或多个生物时，可以恢复等于该法术环阶两倍的生命值。
如果你使用的是死灵系法术，则其恢复的生命值为法术环阶的三倍。
你以此杀死不死生物或构装生物时，无法从该特性获得任何益处。</t>
  </si>
  <si>
    <t>魔炮师法术</t>
  </si>
  <si>
    <t>风暴降生</t>
  </si>
  <si>
    <t>第17级起，当你不在地底或室内时，你得到等同于你步行速度的飞行速度。</t>
  </si>
  <si>
    <t>召唤野火精魂</t>
  </si>
  <si>
    <t>从2级起，你能召唤出与你灵魂连接的原初精魂。
以一个动作，你可以消耗一次荒野形态使用次数召唤你的野火精魂，而不是变化为野兽形态。
精魂出现在你所选择的距离你30尺内未被占据的可见空间内。
每个精魂10尺内的生物（除你之外）在它出现时都必须成功一次对抗你法术豁免DC的敏捷豁免否则受到2d6火焰伤害。
野火精魂对你与你的同伴保持友善并遵从你的命令。
在野火精魂资料表中可以看到这只生物的游戏数据，其中几处采用了你的熟练加值（PB）。
由你来决定精魂的外形。
一些精魂是熊熊燃烧的枝条虬结而成的人形，而另一些则像是被火焰包裹的野兽。
在战斗中，野火精魂与你使用同一先攻，但在你的回合之后紧接着行动。
它仅能使用回避动作，除非你使用一个附赠动作命令它采取其他动作。
那个动作可以是其资料表上的一个，也可以是其他动作。
如果你陷入失能，精魂可以采取任何它选择的动作，不只是回避。
野火精魂持续存在1小时，直到其生命值降低至0，或直到你再次使用此特性召唤此精魂，或直到你死亡。</t>
  </si>
  <si>
    <t>魔法箭矢</t>
  </si>
  <si>
    <t>在7级时，你学会在箭矢中灌注魔法。
无论何时你用短弓或者长弓射出普通箭，你都可以为了让它能够克服对非魔法攻击伤害的抗性和免疫而将其转变为魔法箭矢。
这个魔法会在箭击中或未命中目标后立刻消失。</t>
  </si>
  <si>
    <t>额外熟练</t>
  </si>
  <si>
    <t>当你3级时，若你还没有获得表演技能项熟练，则你熟练之。
你的武术技巧将战斗与舞者的精确及小丑的滑稽混合在一起。
你同时也能得到啤酒酿造工具的熟练如果你还未获得。</t>
  </si>
  <si>
    <t>顽强精神</t>
  </si>
  <si>
    <t>从15级起，你在避免陷入震慑或者麻痹状态的豁免骰中得到优势。</t>
  </si>
  <si>
    <t>哀惧灵袭</t>
  </si>
  <si>
    <t>从3级起，你能够使用来自妖精荒原中黑暗空洞的摄心魔法以强化你的武器攻击。
当你使用武器命中一个生物时，你可以对目标造成额外的1d4心灵伤害，一个目标一回合只能够受到一次这个伤害。
该额外伤害在你的游侠升到11级时变成1d6。</t>
  </si>
  <si>
    <t>突袭大师</t>
  </si>
  <si>
    <t>从13级起，你精通于引领突袭，在战斗中首先行动。
你在先攻检定时具有优势。
此外，在第一轮战斗中你所命中的第一个生物对你和其他人而言会变得更容易打击；直到你下一回合开始之前，所有对它进行的攻击检定具有优势。</t>
  </si>
  <si>
    <t>暴风狂怒</t>
  </si>
  <si>
    <t>14级起，每当你在一次近战攻击中被命中，你可以用你的反应动作对攻击者造成等于你术士等级的闪电伤害。
此外，攻击者必须进行一次力量豁免，DC等于你的术士法术豁免。
一旦豁免失败，攻击者将被直线推开20尺。</t>
  </si>
  <si>
    <t>月之仪态</t>
  </si>
  <si>
    <t>不死奴仆</t>
  </si>
  <si>
    <t>第6级起，如果你法术书中未有法术操纵死尸，则将之加入法术书。
施展操纵死尸 时，你可以指定额外的一具尸体或一堆骸骨以创造一个额外的僵尸或骷髅，并按法术详述进行设定。
此外，每当你用死灵系法术创造不死生物时，这些生物还可以获得以下增益：
其生命值上限增加，数值等于你的法师等级。
其武器的伤害掷骰可以加上你的熟练加值。</t>
  </si>
  <si>
    <t>魔能炮台</t>
  </si>
  <si>
    <t>野兽之形</t>
  </si>
  <si>
    <t>诡术领域法术</t>
  </si>
  <si>
    <t>牧师等级——法术
1st——魅惑人类、易容术
3rd——镜影术、行动无踪
5th——闪现术、解除魔法
7th——任意门、变形术
9th——支配人类、篡改记忆</t>
  </si>
  <si>
    <t>强化链接</t>
  </si>
  <si>
    <t>在6级时，你与野火精魂的连接增强了你的破坏与恢复法术。
当你在野火精魂处于召唤状态下施展一个造成火焰伤害或回复生命值的法术时，骰一个 d8，你在该法术的一次掷骰时获得等同于骰出数值的加值。
此外，当你施展一个射程非自身的法术时，该法术可以源自你或你的野火精魂。</t>
  </si>
  <si>
    <t>曲线射击</t>
  </si>
  <si>
    <t>在7级时，你学会如何引导偏离的箭矢到新的目标上。
当你使用了魔法箭矢投攻击骰且未命中时，你能够使用一个附赠动作来指定一个距离原本目标60尺内的不同目标重投攻击骰。</t>
  </si>
  <si>
    <t>醉拳法门</t>
  </si>
  <si>
    <t>当你3级时，选择了这个范型的武僧使得你学会了如何在疾风连打中快速的扭转与行动躯体。
每当你使用疾风连击时，你将获得撤离动作的好处，而你的步行速度增加10英尺直到当前回合结束。</t>
  </si>
  <si>
    <t>崇高卫士</t>
  </si>
  <si>
    <t>从20级起，对于那些献身于你所遵从的事业的人而言，你已经成为了一个鼓舞人心的完美典范。
你可以用一个动作在接下来1个小时里得到如下好处：
你抵抗由非魔法武器造成的钝击、穿刺和挥砍伤害。
在你30尺距离内的盟友在进行死亡豁免时具有优势。
你和你30尺距离内的盟友在感知豁免上具有优势。
如果你死亡或者进入失能状态，这个效果将提前结束。
一旦你使用了这个能力，在你完成一次长休息之前你不能再次使用。</t>
  </si>
  <si>
    <t>妖精漫游者魔法</t>
  </si>
  <si>
    <t>从3级起，你在达到特定等级时学会一个下方妖精漫游者法术列表中列出的魔法。
这些法术对你而言视作游侠法术，且不占用你的游侠已知法术数量。
妖精漫游者法术
游侠等级   法术
三级       魅惑人类
五级       迷踪步
九级       解除魔法
十三级     任意门
十七级     误导术
你还获得了来自一位妖精盟友或一处妖精神力的神奇祝福，你可以在下方妖精荒原之赐表格中选择你的祝福或者随机决定。
精野之赐
D6 赐礼
1 在你进行长休或短休时，缥缈的蝴蝶在你周身振翅。
2 每天黎明，新鲜的、当季的花朵将在你的头发中生长。
3 你身上有淡淡的肉桂、薰衣草或肉豆蔻，或另一种令人舒适的药草或香料的香味。
4 你的影子会在没人直视它时起舞。
5 你的头发中长出纤细的触角或鹿角。</t>
  </si>
  <si>
    <t>突袭打击</t>
  </si>
  <si>
    <t>从17级起，你可以以致命的速度进行打击。
若你在你的回合进行攻击动作，你可以以一个附赠动作进行一次额外的攻击。
此攻击可以从你的偷袭中收益，即使你已经在此回合中使用了它，但是你不能在一回合中对同一目标偷袭一次以上。</t>
  </si>
  <si>
    <t>清风之灵</t>
  </si>
  <si>
    <t>18级时，你获得60尺飞行速度，且免疫闪电与雷鸣伤害。
以一个动作，你可以将你的飞行速度降低到30尺，持续一小时。
当你这么做时，你可以指定在你身边30尺内的，3+你的魅力调整值个生物。
这些被选定的生物获得30尺飞行速度，持续1小时。
你不能在一次短休息或者长休息前再一次使用此能力。</t>
  </si>
  <si>
    <t>飞蝇斗篷</t>
  </si>
  <si>
    <t>不死适应</t>
  </si>
  <si>
    <t>第10级起，你对黯蚀伤害具有抗性，且你的生命值上限不会被降低。
你已经花了相当长的时间研究不死生物和驱役其力量，所以你已经可以适应其一些负面效应。</t>
  </si>
  <si>
    <t>奥法火器</t>
  </si>
  <si>
    <t>兽性之魂</t>
  </si>
  <si>
    <t>诡术祝福</t>
  </si>
  <si>
    <t>灼烧烈焰</t>
  </si>
  <si>
    <t>在10级时，你获得将死亡转化为可以用于治疗或焚烧的魔法火焰的能力。
当一个小型或更大生物在你或你的野火精魂30尺内死亡时，无害幽火从其死亡生物空间中涌现并在此处摇曳1分钟。
当一个你可见的生物进入该空间时，你可以用反应扑灭那里的幽火并对该生物进行治疗或火焰伤害。
伤害或治疗数值等于2d10+你的感知调整值。
你能使用该特性的次数等于你熟练加值，你在完成一次长休后会恢复所有已消耗使用次数。</t>
  </si>
  <si>
    <t>预备射击</t>
  </si>
  <si>
    <t>15级起，无论战斗何时开始你都有魔法箭矢可用。
如果你投了先攻骰且没有任何奥术射击使用次数，你重新获得一次使用机会。</t>
  </si>
  <si>
    <t>微醺摇摆</t>
  </si>
  <si>
    <t>当你6级时，你可以突然地以摇摆的方式作出移动。
你将获得以下好处：
鲤鱼打挺：当你倒地时，你可以花费5尺移动力起身而不是一半的移动力。
借力打力：当一个生物对你的一次近战攻击失手时，你可以花费1点气作此反应，让这次攻击击中在你周围5尺范围内由你选择的一名可见生物，但不能是攻击者。</t>
  </si>
  <si>
    <t>圣武士等级—法术
3级—曳光弹，英雄气概
5级—强化属性，魔化武器
9级—加速术，防护能量伤害
13级—强迫术，自由行动
17级—通神术，焰击术</t>
  </si>
  <si>
    <t>妖冶嫺都</t>
  </si>
  <si>
    <t>从3级起，你的妖精本质给予了你超脱凡俗的魅力，因此，每当你进行一次魅力检定时，你可以在结果中加入等于你的感知调整值的加值(最低为1)。
另外，你得到下列技能中你选择的一项的熟练：欺瞒，表演，游说。</t>
  </si>
  <si>
    <t>梦幻舞步</t>
  </si>
  <si>
    <t>从3级起，你冲刺，攻击，摆脱这些战斗中的动作就像一串模糊的身影。
在你的回合，如果你对一个生物进行一次近身攻击，那个生物在你回合剩下的时间内无法对你进行借机攻击。</t>
  </si>
  <si>
    <t>灵能法术</t>
  </si>
  <si>
    <t>魔能斩击</t>
  </si>
  <si>
    <t>命令亡灵</t>
  </si>
  <si>
    <t>第14级起，你可以用魔法夺取不死生物的控制权，甚至可以夺取其他法师所创造的不死生物。
作为一个动作，你可以指定一个在距你60尺内你能看见的不死生物。
该生物必须进行一次对抗你法师法术豁免DC的魅力豁免。
若豁免成功，则你将不能对该生物再次使用此特性。
若豁免失败，则该生物变为对你友善，并服从你的命令，直至你再次使用此特性。
以该方式操纵智慧不死生物要更难一些。
如果目标的智力值不低于8，则它在进行该豁免时具有优势。
而智力不低于12的不死生物，即使其豁免失败也可以每小时重掷豁免，直至其豁免成功并挣脱你的控制。</t>
  </si>
  <si>
    <t>高爆炮台</t>
  </si>
  <si>
    <t>引导神力：召唤分身</t>
  </si>
  <si>
    <t>炽烈回生</t>
  </si>
  <si>
    <t>在14级时，你与野火精魂的连接可以使你免于死亡。
当你生命值降至0从而昏迷时，如果精魂在你的120尺之内，你可以使精魂降至0生命值。
之后你就会恢复一半生命值，并立刻站起来。
一旦你使用这一特性，直到你结束一次长休前你不能再次使用。</t>
  </si>
  <si>
    <t>放逐箭</t>
  </si>
  <si>
    <t>你尝试用你的防护魔法来暂时放逐你的目标到一片属于精灵沃野的无害区域。
被这发箭击中的角色必须通过一个魅力豁免或者被放逐。
当被这种方式放逐时，目标速度降为0，变为失能。
在他的回合结束时，目标在他被放逐前的位置出现。
如果该位置被占据，则他在最近的未被占据空间出现。
当你的战士等级到18级时，目标被箭击中时还会受到2d6的力场伤害。</t>
  </si>
  <si>
    <t>醉汉机运</t>
  </si>
  <si>
    <t>当你11级时，你似乎总是能在最正确的时刻获得机运的反弹。
当你进行一次属性检定，攻击检定或豁免检定并在检定中拥有劣势时，你可以花费2点气抵消这个劣势。</t>
  </si>
  <si>
    <t>第3级起，若选取此誓言，你获得以下两种引导神力选项。
绝伦健将：以一个附赠动作，你可以使用你的引导神力以增强运动能力。
10分钟内，你在力量（运动）检定和敏捷（体操）检定上获得优势，你的负重及能够拖、拉、拽的重量翻倍，且你跳远和跳高的距离增加10尺（你依然为此正常消耗移动速度）。
鼓舞一击：当你以至圣斩特性造成一次伤害时，你可以立即用附赠动作使用你的引导神力，使30尺内由你选择的生物或你自身获得临时生命值。
这些生物共获得的临时生命值等同于你的圣武士等级加上2d8，你可以为其随意分配这些临时生命值。</t>
  </si>
  <si>
    <t>妖思魅缕</t>
  </si>
  <si>
    <t>从7级起，妖精荒原的魔法护卫着你的心灵，你在对抗造成恐惧与魅惑的豁免检定上具有优势。
另外，120尺内你可见的一个生物成功地通过了一个对抗魅惑或恐惧的豁免检定时，你可以用你的反应迫使120尺内你可见的另一个生物通过一个DC为你的法术DC的感知豁免。
若其豁免失败，则目标会被你魅惑或恐惧(由你选择) 一分钟。
目标能够在他的每回合结束时重复豁免，若其豁免成功，则效果终止。</t>
  </si>
  <si>
    <t>时时刻刻都要大胆</t>
  </si>
  <si>
    <t>从3级起，你万无一失的自信驱使着你去战斗。
你将你的魅力调整值加入你的先攻掷骰值。
你也可以通过一种额外的方式来使用偷袭攻击：只要你在目标生物周围5尺内，并且没有其他生物在你5尺内，你的攻击检定也没有劣势，你就可以无需攻击检定的优势对目标生物进行偷袭。
其他所有关于偷袭的规则依然适用于你。</t>
  </si>
  <si>
    <t>传心谈话</t>
  </si>
  <si>
    <t>从1级起，你能够在自己与他人的意识中构建一道心灵感应的链接。
以一个附赠动作，你可以选择30尺内一个你可见的生物，只要你与其距离的里数不超过你的魅力调整值（至少1里），你与其能够通过心灵感应方式进行交流。
你们必须使用对方知晓的语言进行心灵交流才能使其理解你通过心灵感应传达的话语。
心灵感应的链接持续等同于你术士等级的分钟数。
当你失能或死亡，或你使用此能力与其他生物构建链接时，其提前结束。</t>
  </si>
  <si>
    <t>幽魂凝视</t>
  </si>
  <si>
    <t>变化学者</t>
  </si>
  <si>
    <t>从第2级你选择该学派起，你向法术书中抄写变化系法术的时间和金钱花费减半。</t>
  </si>
  <si>
    <t>坚固要塞</t>
  </si>
  <si>
    <t>狩猎之唤</t>
  </si>
  <si>
    <t>引导神力：幽影斗篷</t>
  </si>
  <si>
    <t>欺诈箭</t>
  </si>
  <si>
    <t>你的附魔魔法会让箭暂时欺骗目标。
被这发箭击中的角色会额外受到2d6的精神伤害，而且选择距离目标30尺内的一名队友。
目标必须成功通过一个感知豁免，或者被选择的队友魅惑直到你的下一个回合开始。
这个效果会提前结束如果被选择的队友攻击，伤害被魅惑的目标或者强迫其投豁免。
当你的战士等级到18级时该精神伤害增加到4d6。</t>
  </si>
  <si>
    <t>酒疯沉醉</t>
  </si>
  <si>
    <t>当你17级时，你能对一大群敌人进行超量次数的乱舞打击。
每当你使用你的疾风连击时，你可以用它进行最多三次的额外攻击（疾风连击最多可以进行五次攻击），前提是每一次疾风连击都能在本回合中取一个不同生物作为攻击目标。</t>
  </si>
  <si>
    <t>迅捷灵光</t>
  </si>
  <si>
    <t>第7级起，你散发出一道能使你和你的盟友获得超自然速度的灵光，从而能够列队穿越战场，你获得10尺的额外移动速度。
此外，若你未失能，在你5尺内开始其回合的友善生物获得10尺的额外移动速度，直至该回合结束。
18级起，灵光的范围增长至10尺。</t>
  </si>
  <si>
    <t>精宸所与</t>
  </si>
  <si>
    <t>从11级起，妖精荒原的皇庭赐予你获得精类援助的祝福：你习得召唤妖精（一个第三章中的法术）。
这不占用你的已知游侠法术，且你可以施展它而无需材料成分。
你可以不消耗法术位而施展这个法术一次，并在你完成一次长休后重获该能力。
当你开始施展这个法术时，你可以对其进行调整使其无需专注。
若你这么做，那么法术的持续时间会在那一次施展时变为一分钟。</t>
  </si>
  <si>
    <t>潇洒气质</t>
  </si>
  <si>
    <t>从9级起，你的魅力变得更加迷人。
你可以用一个动作进行一次魅力（游说）检定来对抗一个生物的感知（洞察）检定。
目标生物必须能听到你的声音，并且你们两个必须会同一种语言。
如果那个生物是敌对的并且你的检定成功，它对除你之外的其他目标攻击取劣势，并且不能对除你之外的目标进行借机攻击。
这个效果持续1分钟，或你的队友攻击/用法术影响了这个目标，或你移动到远离目标60尺外为止。
如果那个生物不是敌对的并且你的检定成功，它被你魅惑1分钟。
当它被魅惑时，它认为你是一个友好的熟人。
这个效果会在你或者你的队友做出任何对他有害的行为之后立即结束。</t>
  </si>
  <si>
    <t>灵能术法</t>
  </si>
  <si>
    <t>从6级起，当你施放一个你通过灵能法术特性知晓的法术时，你可以改为使用等同于该法术环数数量的术法点而非消耗法术位施放该法术，你依然可以用法术位正常施放这些法术。
当你通过此能力施放法术时，你无视该法术施法需要的语言成分或姿势成分。
你同时无视该法术需要的不会消耗的材料成分。</t>
  </si>
  <si>
    <t>深海赠礼</t>
  </si>
  <si>
    <t>次级炼金</t>
  </si>
  <si>
    <t>从第2级你选择该学派起，你可以暂时转变一件非魔法物件的物理属性，将其构成材料变成另一种物质。
你对一件物件施行某些特殊的炼金程序使其完成转化，该物件必须完全由木材，石头（不包括宝石），钢铁，铜，或者白银制成，而后你可以将其变为上述材质中的另一种。
你每花费10分钟施行该程序，就可以转变1立方尺的物质。
1小时后，或者当你的专注中断时（其规则等同于进行法术专注），材质就会复原。</t>
  </si>
  <si>
    <t>当你在第3级选择此专业时，你获得铁匠工具的熟练。
如果你已经拥有此熟练，作为代替，你能获得另一种工匠工具的熟练。</t>
  </si>
  <si>
    <t>爆裂箭</t>
  </si>
  <si>
    <t>你将从塑能魔法中汲取的力场能量注入到箭中，这股能量会在你攻击后爆炸。
当箭击中目标后，目标和其10尺内所有的角色都受到2d6的力场伤害。
当你的战士等级到18级时该力场伤害增加到4d6。</t>
  </si>
  <si>
    <t>剑圣之途</t>
  </si>
  <si>
    <t>当你在第3级时选择了这个宗派，你特殊的武术训练使你精通于某些特定武器使用技巧。
这一流派同时还包括了对书画艺术的研究。你获得以下好处：
剑圣武器:选择两种武器作为你的剑圣武器，一种近战武器和一种远程武器。
这两种武器可以在不带有重型和特殊属性的简易或军用武器中任选。
长弓也算在内。
如果你还未拥有所选武器的熟练项，你获得之。
所选武器算作你的武僧武器。
这一宗派的许多职业特性只有当你使用剑圣武器时才能生效。
当你的武僧职业等级分别达到第6级、第11级和第17级时，你可以遵从上述标准，选择另一种武器——近战或远程武器均可——作为你的剑圣武器。
灵巧格挡：如果你持握一件剑圣武器，并在你的回合中进行了一次徒手攻击作为攻击动作的一部分，若该武器是近战武器，则你可以用它来保护自己。
直到你的下回合开始之前你的AC获得+2加值，只要武器还在你的手中且你未陷入失能状态。
持弓审固：你可以在你的回合中使用一次附赠动作使你的剑圣武器远程攻击变得更为致命。
当你这样做时，你用剑圣武器发动的远程攻击所命中的任何目标将会额外受到1d4点该武器的属性种类的伤害。
你保留这一好处直到当前回合结束。
书画之道：你在书法工具或画家工具中选择其一，获得熟练项。</t>
  </si>
  <si>
    <t>辉煌防御</t>
  </si>
  <si>
    <t>第15级起，你能够抵御突然的袭击。
当你或你10尺内一个你可见的生物成为一次攻击的目标并被击中时，你可以用反应使其获得AC加值，此举可能使该次攻击改为击失，此加值等同于你的魅力调整值（至少为+1）。
若该次攻击的结果为击失，且攻击者在你的触及范围内，你可以对其进行一次武器攻击，视为此反应的一部分。
你可以使用此能力的次数等同于你的魅力调整值（至少1次）。
每当你完成一次长休息，你重新获得已消耗的使用次数。</t>
  </si>
  <si>
    <t>雾行漫游</t>
  </si>
  <si>
    <t>从15级起，你可以在眨眼之间穿梭妖精荒原以进行移动:你可以施展迷踪步而不需要消耗法术位。
你可以这么做的次数等于你的感知调整值（最低一次），你在完成一次长休后重获所有的使用次数。
另外，每当你施展迷踪步时，你可以携带一个五尺以内你看得见的自愿生物与你一起移动。
那个生物会被传送到由你选择的，位于你的目标位置五尺以内的未被占据空间。</t>
  </si>
  <si>
    <t>优雅战技</t>
  </si>
  <si>
    <t>从13级起，你可以轻松熟练的完成困难的战技。
你可以在你的回合用一个附赠动作来获得在同一回合中下一个敏捷（体操）或力量（运动）检定的优势。</t>
  </si>
  <si>
    <t>心灵防御</t>
  </si>
  <si>
    <t>从6级起，你对心灵伤害获得抗力。
此外，你在对抗魅惑或恐慌的豁免检定上获得优势。</t>
  </si>
  <si>
    <t>永生者赠礼</t>
  </si>
  <si>
    <t>变化师之石</t>
  </si>
  <si>
    <t>第6级起，你可以花费8小时时间创造一颗储存着变化魔力的变化师之石。
你可以自己保有石头获得其增益或将其赠予别人。
持有变化师之石的生物将从中获得你所选择的增益。
在创造变化师之石时，选择下述效应其一：
60尺黑暗视觉，详见第8章
该生物未处于重载时，其速度提升10尺
具有体质豁免检定的熟练项
具有对强酸、冷冻、闪电、火焰、雷鸣伤害之一的抗性（每当你选择该增益时自选一种伤害类型）
你自己持有变化师之石时，你每施展一个1环或更高环阶变化系法术，都可以改变你的变化师之石所带的效应。
你创造了一颗新的变化师之石后，原有的石头便会失效。</t>
  </si>
  <si>
    <t>战地匠师法术</t>
  </si>
  <si>
    <t>从第3级起，只要你达到相应的职业等级，战地匠师法术表格中的法术总是被视为已准备。
这些法术对你来说是奇械师法术，且不会计入你可以准备法术的总数。
奇械师等级 法术
3级 英雄气概，护盾术
5级 印记斩，守护之链
9级 活力灵光，召唤箭雨
13级 净化灵光，火焰护盾
17级 放逐斩，群体疗伤术</t>
  </si>
  <si>
    <t>精通分身</t>
  </si>
  <si>
    <t>第17级起，你使用召唤分身时可以同时制造至多四个自身的幻象分身而非一个。
作为你自己回合内的一个附赠动作，你可以让任意数量的该分身移动至多30尺到某个你可以看见的地方，但幻象必须始终保持离你120尺之内。</t>
  </si>
  <si>
    <t>凋零箭</t>
  </si>
  <si>
    <t>你在你的箭上施展死灵魔法。
被这发箭击中的角色会额外受到2d6的黯蚀伤害。
目标必须成功通过一个体质豁免，或者他的武器攻击造成的伤害在你的下一个回合开始之前减半。
当你的战士等级到18级时该黯蚀伤害增加到4d6。</t>
  </si>
  <si>
    <t>人剑合一</t>
  </si>
  <si>
    <t>第6级起，你能将“气”灌注到剑圣武器之中，这为你带来以下好处： 
剑气：攻击对非魔法攻击和伤害具有抗性或免疫的目标时，你的剑圣武器攻击视为魔法攻击。
巧劲：当你使用剑圣武器命中目标时，你可以消耗1点“气”使得该武器对该目标造成额外伤害，数值等于你的“武艺”投骰。
该特性你每回合只能使用一次。</t>
  </si>
  <si>
    <t>现世传说</t>
  </si>
  <si>
    <t>第20级起，你能够使自己有能力实现传奇的壮举——无论是确有此事，抑或夸大其词。
以一个附赠动作，你在1分钟内获得以下增益：
一个超凡脱俗的存在赐福与你，你在与魅力相关的检定上获得优势。
每自己回合一次，当你进行一次武器攻击并击失，你可以使其改为击中。
当你进行一次豁免检定并失败时，你可以用反应重投之，你必须使用重投的结果。
一旦你使用了此能力，你在完成一次长休息之前必须消耗一个5环法术位以再次使用此能力。</t>
  </si>
  <si>
    <t>决斗大师</t>
  </si>
  <si>
    <t>从17级起，你对剑术的精通使你可以扭转战斗的胜负。
如果你的一次攻击失手，你可以选择以优势再投一次攻击骰。
一但你使用了这项能力，你直到完成一次短休息或长休息前不能再次使用它。</t>
  </si>
  <si>
    <t>血肉启示</t>
  </si>
  <si>
    <t>从14级起，你能够释放出潜藏在你内部扭曲的真实形态。
以一个附赠动作，你使用至少1术法点以魔法性地转变形态，持续10分钟。
你每因此使用了1术法点，你便可以在转变形态期间选择并获得以下一种增益：
你能看见60尺内的隐形生物，前提是其对你不为全遮蔽。
你获得等同于你行走速度的飞行速度，并能停留在空中，当你飞行时，你的皮肤表面流出发光的粘液或是散发出超凡脱俗的光芒。
你获得等同于你两倍行走速度的游泳速度，且你能在水下呼吸，此外，腮从你的脖子上长出来，或从耳后呈扇状翻出，你的手指变成蹼趾，或有卷曲的细毛从你的衣服底下翻腾而出。
你的身体和你携带的装备都变得柔韧粘滑。你能够轻松穿过最窄1寸宽的狭窄空间而不用挤进去，且你可以消耗5尺移动速度以逃离非魔法的束缚或擒抱。</t>
  </si>
  <si>
    <t>哈达之攫</t>
  </si>
  <si>
    <t>变形生物</t>
  </si>
  <si>
    <t>第10级起，如果你的法术书中尚未包含变形术，则你将之加入法术书。
你可以无需消耗法术位的施展变形术。
此时，你可以指定的目标将限定为你自身，而其效应为变成一种挑战等级不高于1的野兽。
你以该方式施展变形术后，必须完成一次长休或短休才能再次使用该特性，但仍可正常消耗法术位地施展变形术。</t>
  </si>
  <si>
    <t>战斗准备</t>
  </si>
  <si>
    <t>在第3级时，你的战斗训练和魔法实验为你带来了两种好处：
你得到军用武器的熟练。
当你以魔法武器攻击时，你可以在攻击和伤害检定使用智力调整值，以代替力量或敏捷。</t>
  </si>
  <si>
    <t>战争领域法术</t>
  </si>
  <si>
    <t>牧师等级——法术
1st——神恩、虔诚护盾
3rd——魔化武器、灵体武器
5th——十字军披风、灵体卫士
7th——行动自如、石肤术
9th——焰击术、怪物定身术</t>
  </si>
  <si>
    <t>缠绕箭</t>
  </si>
  <si>
    <t>当这次攻击击中目标时，咒法魔法会创造一团紧抓着的毒性荆棘来困住目标。
被这发箭击中的角色会额外受到2d6的毒性伤害，他的速度减少10尺，当他在每个回合第一次不使用传送移动1尺以上的距离时他会受到2d6的挥砍伤害。
这个目标或其他能触碰到荆棘的角色可以使用一个动作，以一个成功对抗你的奥术射击DC的力量（体能）检定来解除荆棘。
否则，荆棘会在1分钟后或者你再次使用该选项时结束。
当你的战士等级到18级时该毒性和挥砍伤害增加到4d6。</t>
  </si>
  <si>
    <t>锋锐剑影</t>
  </si>
  <si>
    <t>第11级起，你能使用“气”进一步地增强你的武器。
你可以用一次附赠动作，消耗最多3点“气”灌注进你接触的一件剑圣武器，在你使用它攻击时获得攻击检定和伤害投骰的加值。
加值等于你为此消耗的“气”点数。
这一加值效果持续1分钟，除非你再次使用该特性。
该特性无法作用于一件已经提供攻击检定与伤害骰加值的魔法武器。</t>
  </si>
  <si>
    <t>圣武士等级—法术
3级—警报术，侦测魔法
5级—月华之光，识破隐形
9级—法术反制，回避侦测
13级—净化灵光，放逐术
17级—怪物定身术，探知</t>
  </si>
  <si>
    <t>亡者余声</t>
  </si>
  <si>
    <t>从3级起，死者的回响依附着你，一个幽灵般的存在会向你分享它的知识。
每当你完成一次短休或长休时，你可以选择一项你没有熟练的工具或者技能并且获得该熟练，当你用这个能力来选择一项不同的熟练时，你会失去原来的熟练项。</t>
  </si>
  <si>
    <t>扭曲爆裂</t>
  </si>
  <si>
    <t>从18级起，你能够解放你异质的力量，从而制造扭曲空间的异常现象。
以一个动作，你可以传送到120尺内你可见的一个未被占据的位置，然后你消失位置30尺内的生物必须进行一次力量豁免，失败受3d10力场伤害并被立即拉向你原本的位置或最近的一个未被占据的位置，成功半伤且不受拉扯。
一旦你使用了此能力，你在完成一次长休息之前必须消耗5术法点以再次使用此能力。</t>
  </si>
  <si>
    <t>进阶契约武器</t>
  </si>
  <si>
    <t>变化宗师</t>
  </si>
  <si>
    <t>第14级起，你可以用你的动作将储存在你变化师之石中的变化魔力一次耗尽。
此时你可以选择下述效应之一。
你的变化师之石将因此被毁，而你必须完成一次长休后才能再创作新的变化师之石头。
高等转化：你可以将一件不大于5尺立方的非魔法物件变成体积和质量相近，价值等同或更低的另一件非魔法物件。
你必须花10分钟来完成转化。
万灵秘药：你用变化师之石触碰一个生物，移除其身上生效的所有诅咒、中毒以及疾病效应，同时恢复该生物的全部生命值。
起死回生：你用变化师之石触碰一个生物，并以此对其施展法术死者复活，而无需消耗任何法术位，也不需要法术书中有该法术。
返老还童：你用变化师之石触碰一个自愿的生物，并将该生物的表面年龄减少3d10年（至少减少13年的表面年龄）。
不过该效应并不能延长生物的寿命。</t>
  </si>
  <si>
    <t>钢铁守卫</t>
  </si>
  <si>
    <t>在第3级，你闲暇的工匠时间让你创造出可靠的随从，一个钢铁守卫。
它对你和你的同伴友好，并且服从你的命令。
钢铁守卫的游戏数据见下，它的数据中某几项会适用你的熟练加值。
该生物的外观，两足步行还是四足步行皆由你决定；你的决定对游戏数据没有影响。
在战斗中，钢铁守卫使用你的先攻，并且在你的回合后立即行动。
它能自由移动和执行反应，但除非你以一个附赠动作命令它进行数据中列出的动作或其他动作，否则它在回合中只能进行闪避动作。
如果你失能，钢铁守卫可以进行任何动作，而不仅仅是闪避。
如果你对钢铁守卫施放修复术，它将恢复2d6生命值。
如果它在最近一小时内死亡，你能够以一个动作使用铁匠工具花费一个至少1环的法术位来在距离你5尺的空格内复活它。
钢铁守卫会在1分钟后复活，在复活时会回满生命值。
当你在手头有铁匠工具的情况下完成一次长休时，你可以创造一个新的钢铁守卫。
如果你已经通过此特性拥有一个钢铁守卫，则上一个会立即消失。如果你死亡，钢铁守卫会随之损毁。</t>
  </si>
  <si>
    <t>额外熟练项</t>
  </si>
  <si>
    <t>穿透箭</t>
  </si>
  <si>
    <t>你使用你的变化系魔法使你的箭变得虚无缥缈。
当你使用该选项时，你不用为该次攻击投攻击骰，取而代之，这只箭会在消失前划出一条一尺宽30尺长的直线。
这只箭会无害地穿过物品且无视遮蔽。
每一个在这条直线上的角色都必须通过一个敏捷豁免。
如果失败，角色会受到如同被这只箭击中的伤害和额外1d6的穿刺伤害。
如果成功，伤害减半。
当你的战士等级到18级时该穿刺伤害增加到2d6。</t>
  </si>
  <si>
    <t>精妙剑法</t>
  </si>
  <si>
    <t>第17级起，你对武器的运用更为精妙。
如果你使用武僧武器进行的攻击检定失败了，你可以重新掷骰。
该特性你每回合只能使用一次。</t>
  </si>
  <si>
    <t>第3级起，若选取此誓言，你获得以下两种引导神力选项。
守望者的意志：你可以使用你的引导神力，将信仰的守护力量融入你的存在之中。
以一个动作，你可以选择30尺内你可见的生物，数量至多等同于你的魅力调整值（至少为1）。
在1分钟内，你和所有被选择的生物在智力、感知和魅力豁免上都获得优势。
驱散异域：你可以使用你的引导神力惩罚来自异界的存在。
以一个动作，你展示你的圣徽，你30尺范围内能够听到你祷言的异怪、天界生物、元素、精类或邪魔都必须进行一次感知豁免，豁免失败者将受到驱散，其效应持续1分钟或直至其受到任何伤害。
以此方式被驱散的生物必须花费其回合内的所有移动速度尽量远离你，且无法主动靠近你30尺内。
被驱散的生物无法执行反应，只能使用既有的疾走动作或从任何妨碍其移动的效应中挣脱，该生物无路可走时将执行回避动作。</t>
  </si>
  <si>
    <t>墓穴惊嚎</t>
  </si>
  <si>
    <t>从3级起，当你将某人推向墓穴时，你也可以沟通死亡之力，使得亡者的嚎哭短暂环绕着新的目标。
当你在你的回合对于一个生物造成了偷袭伤害之后，你可以立即选择该生物30尺内第二个可见生物，掷你一半的偷袭骰（向上取整），对其造成等同于结果的暗蚀伤害。
你可以使用此特性的次数等同于你的熟练加值，当你完成一次长休时恢复所有使用次数。
3级1d6，5级2d6，9级3d6，13级4d6，17级5d6</t>
  </si>
  <si>
    <t>时械法术</t>
  </si>
  <si>
    <t>怠惰之枪</t>
  </si>
  <si>
    <t>奥术偏斜</t>
  </si>
  <si>
    <t>在2级时，你学会了编织魔法以更强韧的面对伤害。
当你被一次攻击击中，或未通过一次豁免时，你可以使用你的反应来在对抗那次攻击的AC上获得+2加值，或在那次豁免检定中得到+4加值。
当你使用此特性时，你不能施展戏法之外的法术，直到你下个回合结束。</t>
  </si>
  <si>
    <t>战争祭司</t>
  </si>
  <si>
    <t>追踪箭</t>
  </si>
  <si>
    <t>使用预言魔法，你赋予你的箭自寻目标的能力。
当你使用该选项时，你不用为该次攻击投攻击骰，取而代之，选择一名在过去的1分钟里你见过的角色。
如果需要的话，这只箭会立刻掉头飞向那名角色，且忽视四分之三和半遮蔽。
如果目标在箭的射程范围内且中间路程适合箭飞行至目标，目标必须做一个敏捷豁免。否则，箭会在飞行到最大距离后消失。
如果豁免失败，角色会受到如同被这只箭击中的伤害和额外1d6的穿刺伤害，而且你得知目标的确切位置。
如果成功，伤害减半且你无法得知其方位。
当你的战士等级到18级时该穿刺伤害增加到2d6。</t>
  </si>
  <si>
    <t>阳炎箭</t>
  </si>
  <si>
    <t>从3级起，选择了这个范型的武僧可以投掷出灼热的箭矢。
你可以在攻击动作中使用一种特殊的远程法术攻击（射程30尺）。
你熟练于这次攻击，并且可以在攻击和伤害骰上加上敏捷调整值。
它造成光耀伤害，伤害骰为1d4。
伤害骰会随着你的等级增长而改变，参考武僧表中的武艺栏。
如果你在自己的回合内用攻击动作使用这种特殊攻击，你可以花费1点气，并且再用附赠动作用阳光箭进行两次额外的攻击。
当你得到额外攻击能力时，你可以在作为攻击动作一部分的任意某次攻击中使用这种特殊攻击。</t>
  </si>
  <si>
    <t>哨卫灵光</t>
  </si>
  <si>
    <t>第7级起，若你未失能，你散发出一道令人保持警觉的灵光。
当你和你10尺内由你选择的生物进行一次先攻检定时，获得等同于你熟练加值的加值。
18级起，灵光的范围增长至30尺。</t>
  </si>
  <si>
    <t>逝者遗物</t>
  </si>
  <si>
    <t>从9级起，当生命终结于你的眼前，你可从离去的灵魂中抓取出一小片其生命精华的具现化象征：当你30尺内一个可见生物死亡时，你可以以一个反应张开一只空手，使得一个微型的饰物出现在你的掌心，那是一个魂器。
DM决定魂器的外观或者让你骰玩家手册中的饰品表来决定。
你最多可以同时持有魂器的数目等同于你熟练加值的魂器且当你所持魂器数目达到上限时你不再能制造新的魂器。
你能以下列方式使用魂器：
当你随身携带着魂器时，由于你的生命力受到了魂器内蕴藏的生命精华的强化，你在死亡豁免检定和体质豁免检定上具有优势。
当你在你的回合里造成偷袭伤害时，你可以销毁你的一个魂器，在不消耗能力使用次数的情况下，瞬间使用墓穴惊嚎。
以一个动作，你可以销毁一个你的魂器，无论它在哪里。
若你如此做，你可以向与魂器相关的灵体一个问题。
灵体将出现在你面前并以它生前所知的一种语言回答。
它并无义务对你诚实，并由于其对自由的渴望将回答地尽量简略。
DM应当决定在这个灵体只知道他生前所知。</t>
  </si>
  <si>
    <t>归复平衡</t>
  </si>
  <si>
    <t>从1级起，你与绝对秩序之位面的联系使你能重整混沌的时刻。
当你60尺内一个你可见的生物即将进行一次具有优势或劣势的检定时，你可以用反应使其免受优势或劣势的影响。
你可以使用此能力的次数等同于你的熟练加值。
每当你完成一次长休息，你重新获得已消耗的使用次数。</t>
  </si>
  <si>
    <t>癫狂巫咒</t>
  </si>
  <si>
    <t>战术思维</t>
  </si>
  <si>
    <t>从2级起，你对于战略格局的急速把控让你能在战斗中快速的反应。
你在先攻检定中获得等于你智力调整值的加值。</t>
  </si>
  <si>
    <t>奥能震荡</t>
  </si>
  <si>
    <t>在第9级，你学会了新的方法来引导奥术能量进行伤害或治疗。
当你使用魔法武器或指挥钢铁守卫命中目标时，你可以将奥术能量引导至攻击中，以获得以下一种效应：
目标受到额外的2d6力场伤害。
选择距离目标30尺以内的一个可见生物或物体，治愈能量涌进选择的对象，为其恢复2d6生命值。
你可以引导奥术能量的次数等同于你的智力调整值（至少1次），但每回合只能这么做一次。
在你完成长休时，恢复所有可用次数。</t>
  </si>
  <si>
    <t>引导神力：导引打击</t>
  </si>
  <si>
    <t>暗影箭</t>
  </si>
  <si>
    <t>你施加幻术魔法到你的箭上，使其能用暗影蒙蔽敌人的视野。
被这发箭击中的角色会额外受到2d6的精神伤害，而且目标必须成功通过一个感知豁免，或者无法看见5尺之外的任何事物直到你的下一个回合开始。
当你的战士等级到18级时该精神伤害增加到4d6。</t>
  </si>
  <si>
    <t>热能袭</t>
  </si>
  <si>
    <t>从6级起，武僧可以转换自己的气变为灼热的能量。
如果你在你的回合内进行了攻击动作，你可以立即消耗2点气来用附赠动作施放一环燃烧之手。
你可以花费额外的气来施展更高环的燃烧之手法术，每一点额外的气都使法术等级上升1环。
你最多可以在这个法术上花费的气（2+额外的点数）等同你一半的武僧等级（向下取整）。</t>
  </si>
  <si>
    <t>警戒呵斥</t>
  </si>
  <si>
    <t>第15级起，你学会了如何惩罚那些对你与受你守护之人施行欺瞒的家伙。
当你或你30尺内一个你可见的生物在一次智力、感知或魅力豁免上成功时，你可以用反应对迫使你或该生物进行豁免检定的生物造成力场伤害，数值等同于你的魅力调整值加上2d8。</t>
  </si>
  <si>
    <t>幽灵漫步</t>
  </si>
  <si>
    <t>从13级起，你可以部分的进入死亡的领域，变得如同一个幽灵。
作为一个附赠动作，你化为灵体的形态。
处于这种形态时，你拥有10尺的飞行速度，能够盘旋，并且针对你的攻击都具有劣势。
你也可以如同是困难地形那样穿过生物或者物品，但是如果回合结束时你仍然在内部，你将受到1d10点力场伤害。
该形态持续10分钟或直到你以一个附赠动作将其解除。
你再次使用此特性前必须完成一次长休。
或者你以同一个附赠动作销毁一个你的魂器并激活幽灵漫步。</t>
  </si>
  <si>
    <t>律令之壁</t>
  </si>
  <si>
    <t>从6级起，你可以利用事物的壮丽联系为一个生物激发闪烁的秩序之盾。
以一个动作，你可以使用1至5术法点创造出一个环绕你或30尺内一个你可见的生物的魔法屏障。
此屏障持续存在直到你完成一次长休息或直至你再次使用此能力，屏障具有等同于你所消耗术法点数量的d8骰。
当被守护的生物受到伤害时，其可以消耗任意数量的这些d8骰，并使该伤害减少掷出结果的数值。</t>
  </si>
  <si>
    <t>暗影寿衣</t>
  </si>
  <si>
    <t>力量涌动</t>
  </si>
  <si>
    <t>从6级起，你可以将魔法能量存于体内并于之后增幅你危险异常的法术。
在这一存储模式中，这一能量被称为力量涌动。
你不能储存超过你智力调整值（至少1）的力量涌动。
当你完成一次长休息，你的力量涌动数重置为1。
当你成功用解除魔法或反制法术终结一个法术时，你获得1点力量涌动，因为你从你挫败的法术中窃得魔力。
当你在没有力量涌动次数时完成一次短休息，你获得1点力量涌动。
每回合一次，当你用一个法师法术对一生物或物体造成伤害时，你可以消耗1点力量涌动来对目标造成额外的力场伤害。
额外伤害值等于你的法师等级的一半。</t>
  </si>
  <si>
    <t>改良守卫</t>
  </si>
  <si>
    <t>在第15级，你的奥能震荡和钢铁守卫变得更强：
奥能震荡的额外伤害和生命恢复变为4d6。
你的钢铁守卫AC+2
当你的钢铁守卫使用偏转攻击时，攻击者受到1d4+你的智力调整值的力场伤害。</t>
  </si>
  <si>
    <t>引导神力：战神祝福</t>
  </si>
  <si>
    <t>第6级起，身处你周边30尺范围内的一个生物进行攻击检定时，你可以用一个反应使用引导神力令该检定获得+10加值。
你可以在看到掷骰结果后DM公布是否命中前，决定是否使用该特性。</t>
  </si>
  <si>
    <t>当你在3级选择这个泛型时，你选择一下技能中的一个并获得其熟练：动物驯服，历史，洞察，表演和劝说。
或者，你学会一门你选择的语言。</t>
  </si>
  <si>
    <t>阳炎爆</t>
  </si>
  <si>
    <t>从11级起，武僧可以创造出一个纯粹的光能量球以引起一场毁灭性的爆炸。
以一个动作，你可以魔法般地创造一个球体并且向150尺内的任意一点投掷，在那里瞬间扩张成一个光芒四射的区域。
以目标点为中心半径20尺内的所有生物必须立即通过一次体质豁免，若未通过将受到2d6的光耀伤害。
若生物处于全掩护环境并且掩体不透光，那么他不需要进行豁免。
你可以花费额外的气以提高这个能量球的威力。
每花费1点可以使伤害上升2d6，上限3点。</t>
  </si>
  <si>
    <t>尘世壁垒</t>
  </si>
  <si>
    <t>第20级起，你展现出神圣力量的火花，以捍卫凡人的世界。
以一个附赠动作，你在1分钟内获得以下增益：
你获得120尺的真实视觉。
当你对异怪、天界生物、元素、精类或邪魔进行攻击检定时，你获得优势。
当你对一个生物进行攻击并击中，并对其造成伤害时，你可以使其进行一次魅力豁免，若其失败且其不属于此位面，其将被魔法性地放逐到其原本的位面，若目标豁免成功，其在24小时内不能再被此能力放逐。
一旦你使用了此能力，你在完成一次长休息之前必须消耗一个5环法术位以再次使用此能力。</t>
  </si>
  <si>
    <t>死亡之友</t>
  </si>
  <si>
    <t>从17级起，你与死亡的联系变得如此紧密，以至于你获得了如下益处：
当你使用墓穴惊嚎的时候，你可以同时对你的攻击目标和第二目标造成那份暗蚀伤害，
在一次长休的结束时，假如你没有任何魂器，死者的灵魂会自动被你吸引，在你手中形成一个魂器。</t>
  </si>
  <si>
    <t>序列意识</t>
  </si>
  <si>
    <t>从14级起，你获得了将你的意识和机械境无尽的计算达成同步的能力。
以一个附赠动作，你可以在1分钟内进入此种状态。
在此期间，对你进行的攻击免受优势的影响，且每当你进行一次攻击检定、属性检定或豁免检定时，你可以将d20掷出的9或以下的数值视为10。
一旦你使用了此能力，你在完成一次长休息之前必须消耗5术法点以再次使用此能力。</t>
  </si>
  <si>
    <t>莱维斯图斯之墓</t>
  </si>
  <si>
    <t>耐久魔法</t>
  </si>
  <si>
    <t>从10级起，你引导的魔法也能阻绝伤害。
当你于一个法术上维持专注时，你在AC和所有豁免上获得+2加值。</t>
  </si>
  <si>
    <t>从第3级起，你获得重甲的熟练，你同时获得铁匠工具的熟练，如果你已经熟练于此工具，作为代替，你能获得另一种工匠工具的熟练。</t>
  </si>
  <si>
    <t>生而为骑</t>
  </si>
  <si>
    <t>3级起，你作为骑兵的资质是显而易见的。
在进行避免从你坐骑上摔下的豁免检定中，你获得优势。
若你从你的坐骑上摔落且摔落不超过10尺，你能够双脚着陆如果你没有失能。
最后，骑上或离开一个角色只需要你5尺的移动力，而非你速度的一半。</t>
  </si>
  <si>
    <t>光辉护盾</t>
  </si>
  <si>
    <t>从17级起，武僧可以完全将自己包覆在魔法性的强光之中。
你发散出30尺的明亮照明和额外30尺的昏暗照明。
你可以以一个附赠动作将这个光芒熄灭或者恢复。
如果一个被光芒照耀的生物对你进行近战攻击并击中了你，你可以用你的反应对这个生物造成5+你的感知调整值的光耀伤害。</t>
  </si>
  <si>
    <t>灵能天赋</t>
  </si>
  <si>
    <t>从3级起，你的内在潜藏着一个心灵异能的源泉，当你以各种形式引导它时，其能量会上下起伏。
这一力量被表现为你的灵能骰，它的起始大小是d6。
你拥有等同于你熟练加值两倍数量的灵能骰，并且他们供你发挥出你拥有的多种灵能力量，这些选项在后面列出。
一些你的能力会消耗它们使用的灵能骰，如能力中确切描述的一样，而且你不能在你灵能骰全部用完的时候使用要求你使用灵能骰的能力。
你在完成一次长休之后恢复所有的灵能骰。
此外，作为一个附赠动作，你可以恢复一个你消耗的灵能骰，但是直到你完成一次短休或者长休之前，你都无法再次这样做。
每当你在这个职业中达到特定等级，你的灵能骰会增大，5级达到d8,11级d10,17级为d12.
下面的能力会用到你的灵能骰：
灵能诀窍：当你接受的常规训练没法让你搞定时，你的心灵异能会帮助你：如果你使用具有熟练项的技能或工具进行一次属性检定，但失败时，你可以掷灵能天赋骰，将掷骰结果加到检定结果中，这可能会让失败的检定变为成功，你只在灵能让检定成功时消耗灵能骰。
心灵低语：你能够利用灵能力在自己和他人之间建立起基于心灵感应的交流——在需要无声渗透时这堪称完美。以一个动作，掷一个灵能骰，从可见的生物中选择一到至多等同于你熟练加值数量的生物，你和选择的生物获得通过心灵感应进行交流的能力。在等同于灵能骰结果个小时内，你可以和选择生物进行双向的心灵感应交流，但在发送或接收信息时（无需动作），你和选择生物之间的距离不可超过一英里。不会说任何语言的生物无法通过此方法进行交流，而且生物可以随时终止心灵感应的链接（无需动作）。你和链接的生物不需要能说同一种语言也能互相理解话语。你每次长休后的第一次使用这个能力不会消耗你的灵能骰，在其它情况下使用这个能力的话，你会消耗灵能骰。</t>
  </si>
  <si>
    <t>时械矩阵</t>
  </si>
  <si>
    <t>从18级起，你召唤出秩序的精魂以抹除周遭的混乱。
以一个动作，你在以你为中心30尺立方空间的范围内召唤出精魂。
这些精魂看起来像是魔冢或你选择的其他构装体，没有实体也不能摧毁，并在消失前使立方范围内产生以下效应：
精魂合计提供至多回复100生命值，由你随意分配给范围内任意数量的生物。
范围内受到伤害的物件被立即修复。
你选择范围内任意数量的生物或物件，其承受的任何6环或以下的法术结束。
一旦你使用了此能力，你在完成一次长休息之前必须消耗7术法点以再次使用此能力。</t>
  </si>
  <si>
    <t>诡术师的逃脱术</t>
  </si>
  <si>
    <t>偏斜罩幕</t>
  </si>
  <si>
    <t>在14级时，你的奥术偏斜被灌注了致命的魔法。
当你使用你的奥术偏斜特性时，你可以让魔法能量从你身上涌出。
至多三个60尺内你能看见的目标受到半数于你法师等级的力场伤害。</t>
  </si>
  <si>
    <t>装甲师法术</t>
  </si>
  <si>
    <t>从第3级起，只要你达到相应的职业等级，装甲师法术表格中的法术总是被视为已准备。
这些法术对你来说是奇械师法术，且不会计入你可以准备法术的总数。
装甲师法术
奇械师等级 法术
3级 魔法飞弹，雷鸣波
5级 镜影术，粉碎音波
9级 催眠图纹，闪电束
13级 火焰护盾，高等隐形术
17级 穿墙术，力场墙</t>
  </si>
  <si>
    <t>战斗化身</t>
  </si>
  <si>
    <t>第17级时，你对非魔法武器造成的钝击、穿刺、挥砍伤害具有抗性。</t>
  </si>
  <si>
    <t>坚定之印</t>
  </si>
  <si>
    <t>从3级起，你能够恐吓你的敌人，抑制他们的攻击并惩罚他们。
当你以一次近战武器攻击击中一名敌人时，你可以标记他直到你的下一个回合，这个效果会提前结束，如果你失能，死亡或者有其他人标记该敌人。
在你的5尺之内，该名被你标记的敌人的攻击骰承受劣势如果他的攻击不是以你为目标。
额外的，如果该敌人对除你之外的人造成了伤害，在你的下一个回合你可以用一个附赠动作对该敌人进行一次特殊近战攻击，你这次攻击骰有优势，且如果击中，攻击武器对目标额外造成等同于你战士等级一半的伤害。
无论你标记了多少名角色，你能够使用的特殊攻击次数等同于你的力量调整值（至少为1），而且你在长休后重新获得所有被消耗的特殊攻击次数。</t>
  </si>
  <si>
    <t>往生咒</t>
  </si>
  <si>
    <t>从3级起，你对死亡的研究使你能在临近的生物逝去前抽取他们的生命力。
当你使一个5尺距离内的生物生命值下降到0点时，你得到你的感知调整值+武僧等级的临时生命值（最小1点）。</t>
  </si>
  <si>
    <t>念刃</t>
  </si>
  <si>
    <t>从3级起，你能将自己的心灵异能塑造为由灵能构成的闪亮刀刃。
当使用攻击动作时，你能以空闲的手中塑造灵能之刃，并使用它来进行攻击。
念刃是一种魔法的简易近战武器，具有灵巧和投掷特性。
它的常规射程为60尺，没有最大射程，在命中后造成1d6+你用于攻击的属性调整值的心灵伤害。
念刃会在击中或未击中目标后立即消失，如果它造成伤害，其伤害不会在目标上留下痕迹。
当你使用念刃攻击后，只要你的另一只手空闲，就能以一个附赠动作塑造第二把念刃再进行一次近战或远程武器攻击。
此附赠攻击的伤害骰是1d4，而不是1d6。</t>
  </si>
  <si>
    <t>你的宗主是一位妖精的领主或女王，身为传奇生物的他们守护着凡人种族出现前就早已被遗忘的秘密。
他们的行为往往难以理解，有时甚至不可理喻，而其动机通常是关于寻求更强魔力，或是渴望报复老旧仇怨。
这类存在包括霜冻亲王、“薄暮议会”的统治者空暗女王、“仲夏议会”的泰坦尼娅和她的丈夫“苍翠之王”奥伯龙，以及“愚者亲王”希尔萨姆和各远古鬼婆们。</t>
  </si>
  <si>
    <t>战法兼修</t>
  </si>
  <si>
    <t>2级起，当你采用本传承，你获得轻甲熟练，并获得一种自选单手近战武器的熟练。
你同时获得对表演技能的熟练，如果你尚未熟练于本技能。
只有精灵与半精灵可以选择剑咏者奥术传承。
在费伦世界，精灵严密保管着剑歌之术的奥秘。
你的DM可以调整这一限制，使之更符合战役。
这一限制反映着被遗忘的国度中剑咏者的故事，不过这也许不适合你DM的设定，或者他那个版本的国度。
剑咏者精通一种将剑术与舞蹈相结合的奥法传承。
这门传承最初由精灵开创，后来并非精灵的修习者也开始采用，他们信守精灵传统、同时又加以扩展。
在战斗中，剑咏者会使用一系列纷繁优雅的武技，以此偏转攻击并引导魔法化作致命的打击与诡谲的防御。
许多目睹过处于战斗之中的剑咏者的人，都会将这伴随歌咏之剑的壮丽舞蹈当作人生中最为美妙的经历之一铭记于心。</t>
  </si>
  <si>
    <t>奥能装甲</t>
  </si>
  <si>
    <t>从第3级起，你对冶金的钻研让你的盔甲成为了实现你奇械师魔法的渠道。
只要你手持铁匠工具，就能以一个动作将你正穿着的一套重甲变成奥能装甲。
在穿着奥能装甲时，你获得以下好处：
如果你的盔甲通常对穿戴者的力量有要求，奥能装甲能让你无视它。
你能够将奥能装甲作为你奇械师法术的法器。
穿在你身上的奥能装甲除非你自愿，否则无法移除。
同时，奥能装甲能够扩展到复盖你的整个身体，并替换你所有缺失的肢体，替换肢体的部分拥有和正常肢体一样的功能。
转化为奥能装甲的盔甲会一直保有其功能，直到你脱下它、装上另一套盔甲、或你死亡。</t>
  </si>
  <si>
    <t>锻造领域法术</t>
  </si>
  <si>
    <t>牧师等级——法术
1st——鉴定术，炽焰斩
3rd——灼热金属，魔化武器
5th——元素武器，防护能量伤害
7th——鬼斧神工，火墙术
9th——活化物件，造物术</t>
  </si>
  <si>
    <t>防护战术</t>
  </si>
  <si>
    <t>7级起，你学会如何抵御对你，你的坐骑和你附近角色的直接攻击。
如果你或者在你5尺之内对你可视的一名角色被一次攻击击中，你能以一个反应投一个1d8如果你手持一把近战武器或者一面盾牌，将骰值加入被攻击角色的AC中，如果这次攻击仍然击中，被攻击目标对这次攻击伤害有抗性。
你能够使用该特性的次数等同于你的体质调整值（至少为1），而且你在长休后重新获得所有被消耗的使用次数。</t>
  </si>
  <si>
    <t>索命镰</t>
  </si>
  <si>
    <t>从6级起，你可以展现出你灵魂本质中的死亡阴影，使周围的人感到惊惧和恐慌。
以一个动作，你使距离你30尺内的所有能看见你的生物立即进行一次感知豁免。
若豁免失败，他们将对你恐慌直到你的下回合结束。</t>
  </si>
  <si>
    <t>灵魂之刃</t>
  </si>
  <si>
    <t>从9级起，你的念刃现在成为了你那充盈灵能之灵魂的具现，这使你能够通过以下的方式更好地控制它：
寻的攻击：如果在使用念刃进行的攻击中失手，你能掷灵能骰，将掷骰结果加到这次攻击检定中。如果这会使攻击变为命中，你将消耗一个灵能骰。
心灵传送：如果你的灵能天赋骰可用，你能通过投掷念刃来将自己传送到其他地方。以一个附赠动作，你塑造一把念刃，消耗并掷一个灵能骰，将念刃投掷到至多距离灵能骰结果数字10倍尺数的可见空闲区域。你传送到目标位置，同时念刃消失。</t>
  </si>
  <si>
    <t>至高妖精扩展法术</t>
  </si>
  <si>
    <t>法术环阶——法术
1环——妖火，睡眠术
2环——安定心神，魅影之力
3环——闪现术，植物滋长
4环——支配野兽，高等隐形术
5环——支配人类，伪装术</t>
  </si>
  <si>
    <t>剑歌之术</t>
  </si>
  <si>
    <t>2级起，你可唤起一种特殊的精灵魔法——剑歌之术——只要你并未穿着中甲、重甲或使用盾牌。
它赐予你超自然的速度、敏捷与专注。
你可以用一个附赠动作开始剑歌，它将持续1分钟。
如果你陷入失能，或穿上中甲、重甲或盾牌，或你用双手发动一次武器攻击，你的剑歌将提前结束。你也可以随时解消剑歌（不需要动作）。
在剑歌激活期间，你获得以下好处：
你的AC获得等于你智力调整值的加值（最少+1）。
你的陆地移动速度增加10英尺。
你在敏捷（特技）检定上获得优势。
你在为维持法术专注所进行的体质豁免检定上获得加值，加值等于你的智力调整值（最少+1）。
你能使用本特性的次数等于你的熟练加值。
完成一次长休后，你将重获所有消耗掉的使用次数。</t>
  </si>
  <si>
    <t>装甲型号</t>
  </si>
  <si>
    <t>从第3级起，你能够定制你的奥能装甲。
当你这么做时，能够从以下两种型号中选择其一：守护者或渗透者。
你选择的型号会在你穿着时提供特殊的好处。每种型号都包括一种特殊武器。
当你使用该武器攻击时，你可以使用你的智力调整值，而不是力量或敏捷，来进行攻击和伤害检定。
只要你手上有铁匠工具，就可以在完成一次短休或长休后更换你的装甲型号。</t>
  </si>
  <si>
    <t>在1级时选择此领域，你获得重甲熟练和铁匠工具熟练。</t>
  </si>
  <si>
    <t>坚守战线</t>
  </si>
  <si>
    <t>10级起，你成为了封锁敌人的大师。
目标会承受来自于你的借机攻击当他们在你的攻击范围里移动了5尺以上的距离，而且如果你用借机攻击击中敌人，敌人的移动速度降为0直到当前回合结束。</t>
  </si>
  <si>
    <t>握生死</t>
  </si>
  <si>
    <t>从11级起，你对死亡的熟悉使你可以避过它的抓捕。
每次你的生命值下降为0，你可以花费1点气（无需任何动作）使自己保留1点生命值。</t>
  </si>
  <si>
    <t>灵能面纱</t>
  </si>
  <si>
    <t>妖精仪态</t>
  </si>
  <si>
    <t>第1级时，你的宗主授予你如同妖精一般魅惑和威吓他人的能力。
作为一个动作，你可以令以你为原点的10尺立方区域内所有生物进行一次对抗你法术豁免DC的感知豁免，豁免失败者直至你下一回合结束前受你魅惑或陷入对你恐慌（由你选择）。
你必须完成一次长休或短休后才能再次使用该特性。</t>
  </si>
  <si>
    <t>6级起，当你在自己的行动轮内进行攻击动作，你可以攻击两次而不是一次。
此外，你还可以施展一个戏法以替代其中一次攻击。</t>
  </si>
  <si>
    <t>守护者</t>
  </si>
  <si>
    <t>你将装甲设计为适合冲锋陷阵，它拥有下列特性：
雷霆战拳：每一只装甲附带的手套在没有持握任何物品时皆可被视为一件简单近战武器，命中后会造成1d8雷鸣伤害，被战拳击中的生物，会被装甲释放的魔法性干扰脉冲影响，使其对除你之外的目标攻击时有劣势，直到你的下个回合到来。
防护场：在每个你的回合，你能以一个附赠动作获得等于你奇械师职业等级的临时生命值，这会取代你现有的任何临时生命值，如果你脱下装甲，你会失去这些临时生命值，你能执行此附赠动作熟练加值次，在完成一次长休后将恢复所有花费的使用次数。</t>
  </si>
  <si>
    <t>锻造祝福</t>
  </si>
  <si>
    <t>野蛮冲撞</t>
  </si>
  <si>
    <t>从15级起，你能够冲击你的敌人。
无论你是否乘骑，如果你在攻击一名角色前至少直线移动10尺且这次攻击成功，目标必须通过一个力量豁免（DC8+你的熟练调整值+你的力量调整值）或者被击倒，每到你的回合你都可以使用一次该特性。</t>
  </si>
  <si>
    <t>长眠触</t>
  </si>
  <si>
    <t>从17级起，你可以将死亡的能量传入生物的体内。
以一个动作，你触碰一个5尺内的生物，同时花费1到10点气。
目标必须进行一次体质豁免，若失败将受到每点被耗费的气2d10的黯蚀伤害。
成功通过豁免可以使这个伤害降低到一半。</t>
  </si>
  <si>
    <t>撕裂心智</t>
  </si>
  <si>
    <t>雾遁</t>
  </si>
  <si>
    <t>第6级起，你在受到伤害时可以在一团迷雾中消失无踪。
你受到伤害时，可以使用你的反应进入隐形，并传送到60尺内一处你能看见且未被占据的空间。
直至你的下一回合开始，或直至你发动攻击或施法，你将维持隐形状态。
你必须完成一次长休或短休后才能再次使用该特性。</t>
  </si>
  <si>
    <t>守御之歌</t>
  </si>
  <si>
    <t>10级起，在剑歌激活期间，你可以导引你的魔法为你吸收伤害。
当你受到伤害，你可以用你的反应动作消耗一个法术位，使你受到的伤害数值下降那个法术位环数的五倍。</t>
  </si>
  <si>
    <t>渗透者</t>
  </si>
  <si>
    <t>你出于某些特殊需要对你的装甲进行了定制，它拥有下列特性：
闪电发射器：你在胸部或复盖装甲的拳头（根据你的选择）上安装了一个宝石状的节点，它被视为一件简单远程武器，它拥有90尺的常规射程和300尺的最大射程，在命中后会造成1d6闪电伤害，每个你的回合一次，你在通过闪电发射器命中一个生物时，能够额外造成1d6闪电伤害。
动力步伐：你的步行速度增加5尺。
减震场：你在敏捷（隐匿）检定中具有优势，如果你的盔甲原本会让你在此检定上具有劣势，优势和劣势将会正常抵消。</t>
  </si>
  <si>
    <t>引导神力:铁匠祝福</t>
  </si>
  <si>
    <t>警戒守卫</t>
  </si>
  <si>
    <t>18级起，你能用你的特殊警戒来造成伤害。
战斗中，你获得一个你可以在除你自己的回合以外的回合各使用一次的特殊反应，该特殊反应只能进行一次借机攻击，你不能在同一回合使用特殊反应和普通反应。</t>
  </si>
  <si>
    <t>命流之器</t>
  </si>
  <si>
    <t>从3级起，你获得洞悉和医药技能熟练项，以及你获得草药工具的熟练项。
你还可以获得一个特殊的面具，当你使用这个子职的特性时，你通常会戴着它。
你可以自由决定它的外观，或者通过命流面具表来投骰随机决定。
命流面具
D6 面具
1 渡鸦
2 黑白
3 哭脸
4 笑脸
5 骷髅
6 蝴蝶</t>
  </si>
  <si>
    <t>斗转星移</t>
  </si>
  <si>
    <t>第10级时，你的宗主教会你如何通过逆转敌人所施展的心智魔法对付其自身。
你获得魅惑状态的免疫，且当其他生物试图魅惑你时，你可以使用你的反应将魅惑效应反施予该生物。
该生物必须进行一次对抗你法术豁免DC的感知豁免，豁免失败者将受你魅惑，并持续1分钟。
该效应会在其受到任何伤害时终止。</t>
  </si>
  <si>
    <t>胜利之歌</t>
  </si>
  <si>
    <t>14级起，在你的剑歌激活期间，你将你的智力调整值（最低+1）加在你的近战武器伤害上。</t>
  </si>
  <si>
    <t>从第5级起，你在自己回合内执行攻击动作时可以发动两次攻击而非一次。</t>
  </si>
  <si>
    <t>锻造之魂</t>
  </si>
  <si>
    <t>当你在3级选择该泛型时，你获得以下你选择的技能熟练：历史、洞察、表演和劝说。
或者，你学会一门你选择的语言。</t>
  </si>
  <si>
    <t>予命之手</t>
  </si>
  <si>
    <t>从3级起，你的玄秘之触能够愈合伤口。
以一个动作，你能花费1点气来接触一个生物，恢复目标1个你的武艺骰+感知调整值数量的生命值。
当你使用疾风连击时，你能在不消耗气的情况下用此特性替换一次徒手攻击。</t>
  </si>
  <si>
    <t>幻影黑幕</t>
  </si>
  <si>
    <t>第14级时，你可以使一个生物陷入虚幻领域中。
作为一个动作，你可以指定你周边60尺范围内一个你能看见的生物。
目标生物必须进行一次对抗你法术豁免DC的感知豁免。
豁免失败者将受你魅惑或因你而陷入恐慌（由你选择），并持续1分钟，或直至你的专注被打断（等同于你专注一个法术）。
如果该生物受到伤害，那么该效应提前终止。
直至幻象结束前，该生物都会以为自己迷失在了一个迷雾区域中，而区域的形象则由你选择。
该生物只看见和听到其自身、你和幻象三者。
你必须完成一次长休或短休才能再次使用此特性。</t>
  </si>
  <si>
    <t>时间变幻</t>
  </si>
  <si>
    <t>二级特性
你可以魔法地获取对单一生物周围的时间流动的有限控制。
在你或者30尺内你可以看见的一个生物进行一次攻击检定，属性检定或者豁免检定后，你可以以一个反应迫使该生物重投。
你可以在得知该检定是否成功后做出这一反应。
该生物必须使用第二次的结果。
你可以使用这一特性两次。
你在完成一次长休后重获所有已消耗的使用次数。</t>
  </si>
  <si>
    <t>装甲改造</t>
  </si>
  <si>
    <t>从第9级起，你习得了如何通过奇械师注法对你的奥能装甲进行特殊改造。
奥能装甲现在你进行注法时，能够被视为下列独立物品：盔甲（胸甲）、靴子、护腕和武器。每件物品都能进行一次注法，此外，你的注法物品的上限增加2，但增加的部分只能用于为奥能装甲的一部分注法。</t>
  </si>
  <si>
    <t>战意</t>
  </si>
  <si>
    <t>3级起，你在战斗中的气势能保护你并帮助你精准攻击。
在你的回合以一个附赠动作，直到当前回合结束前你的武器攻击骰有优势。
当你这么做时，你还获得5点临时生命。
临时生命的数值会在你到达一定战士等级时增加，在10级时增加到10点，在15级时增加到15点。
你能使用该特性3次，你在完成一次长休后重新获得所有的使用次数。</t>
  </si>
  <si>
    <t>夺命之手</t>
  </si>
  <si>
    <t>从3级起，你能用气来造成伤害。
当你用徒手攻击命中一个生物时，可以花费1点气来额外造成等于1个你的武艺骰+感知调整值的黯蚀伤害，每回合你能使用该特性一次。</t>
  </si>
  <si>
    <t>邪魔</t>
  </si>
  <si>
    <t>你与某位下层位面的邪魔缔结了契约。
这些存在抱有邪恶的企图，但你不一定愿意与之同流合污。
邪魔们追求着世间万物的堕落与毁灭，而这连你本身也无法独善其身最终。
那些强大到能与凡人缔结契约的邪魔包括有狄摩高根、奥喀斯、弗拉兹厄鲁和巴弗灭这样的恶魔领主；阿斯蒙蒂斯、迪斯帕特、墨菲斯托费利斯和贝利亚这样的大魔鬼；一些特别强大的深狱炼魔和巴洛炎魔；以及奥登罗斯魔与其他尤格罗斯魔领主。</t>
  </si>
  <si>
    <t>现世感知</t>
  </si>
  <si>
    <t>二级特性
你的先攻检定获得等同于你智力调整值的加值。</t>
  </si>
  <si>
    <t>完美装甲</t>
  </si>
  <si>
    <t>从第15级起，你的奥能装甲根据其型号获得下列额外好处。
守护者：对你奥能装甲能量系统的改进使你能够释放强大的拉力，当你可见的一个体型为巨型或更小的生物在距离你30尺内的地方结束其回合时，你能以一个反应迫使该生物对你的法术豁免DC进行一个力量豁免检定，失败将被拉向你最多30尺。
如果你将目标拉到距离你5尺的地方，作为此反应的一部分，你能对该生物进行一次近战武器攻击。
你每天能够执行此反应的次数等于你的熟练加值。在完成一次长休后将恢复所有可用次数。
渗透者：任何被你闪电发射器造成闪电伤害的生物将在你的下个回合到来前发光，发光的生物会放出5尺半径的微光光照，当它试图攻击你时，光芒会突然增强，使其在针对你的攻击检定中具有劣势。
另外，下次针对发光生物的攻击检定具有优势，如果那次攻击命中，将额外造成1d6闪电伤害。</t>
  </si>
  <si>
    <t>雅臣</t>
  </si>
  <si>
    <t>7级起，你对于细节的严谨和专注让你能胜任各种公共场合。
当你进行魅力（劝说）检定时，你获得等同于你的感知调整值的额外加值。
你的自控能力也让你获得了感知豁免的熟练。
如果你已经有这项熟练，你获得智力或者魅力的豁免熟练来代替（自选）。</t>
  </si>
  <si>
    <t>生死之触</t>
  </si>
  <si>
    <t>从6级起，你可以通过接触来进行更有效的治疗，你也可以利用你的知识来造成伤害。
当你对一个生物使用予命之手时，你还可以结束一种疾病或影响该生物的下列状态之一：目盲、耳聋、麻痹、中毒或震慑。
当你对一个生物使用夺命之手时，你可以使该生物处于中毒状态，直到你的下一回合结束。</t>
  </si>
  <si>
    <t>邪魔宗主扩展法术</t>
  </si>
  <si>
    <t>法术环阶——法术
1环——燃烧之手，命令术
2环——目盲／耳聋术，灼热射线
3环——火球术，臭云术
4环——火焰护盾，火墙术
5环——焰击术，圣居</t>
  </si>
  <si>
    <t>瞬时静止</t>
  </si>
  <si>
    <t>六级特性
以一个动作，你可以魔法地迫使60尺内你可以看见的一个大型或更小的生物进行一次对抗你法术豁免DC的体质豁免检定。
若失败，该生物将被禁锢于一个魔法力场中，直至你的下回合结束或者该生物受到任何伤害。
当以此法被禁锢时，该生物陷入失能，并且速度被降至0。
你可以使用这一特性等同于你智力调整值的次数（至少一次）。
你在完成一次长休后重获所有已消耗的使用次数。</t>
  </si>
  <si>
    <t>坟墓领域法术</t>
  </si>
  <si>
    <t>牧师等级——法术
1st——灾祸术，虚假生命
3rd——遗体防腐，衰弱射线
5th——回生术，吸血鬼之触
7th—— 枯萎术，防死结界
9th——防活物护罩，死者复活</t>
  </si>
  <si>
    <t>不懈</t>
  </si>
  <si>
    <t>10级起，当你投先攻且没有剩余的战意使用次数时，你重新获得一次使用机会。</t>
  </si>
  <si>
    <t>活杀自在</t>
  </si>
  <si>
    <t>从11级起，你能施以疾风般的治疗与伤害。
当你使用疾风连击时，你现在可以用你的予命之手代替每一次徒手打击，而不用花费气来治疗。
另外，当你进行徒手攻击时，你可以使用夺命之手进行攻击，而不必花费夺命之手所须的气，你仍然在每回合只能使用夺命之手一次。</t>
  </si>
  <si>
    <t>黑暗赐福</t>
  </si>
  <si>
    <t>奥法暂滞</t>
  </si>
  <si>
    <t>十级特性
当你消耗一个四环或更低的法术位来施展法术时，你可以将该法术的法力浓缩至一抹微尘中。
该法术将冻结在施展的那一刻，并被保存在一个灰色的小珠中，持续一小时。
这个小珠是一个拥有15AC和1点生命值的物件，并免疫毒素和心灵伤害。
在持续时间结束或者珠子被摧毁时，它会在光芒一闪中消失，而法术将会失去。
持握着小珠的生物可以使用他的动作来释放其内的法术，随后小珠将会消失。该法术使用你的法术攻击加值和豁免DC，而在其他方面视为由释放它的生物施展。
在你以此特性创造一个小珠后，你在完成一次短休或长休前不能再次这样做。</t>
  </si>
  <si>
    <t>燕返</t>
  </si>
  <si>
    <t>15级起，你学会如何将精准转化为迅捷。
如果你在这回合进行攻击动作且对目标的一个攻击骰有优势，你可以放弃那个优势骰转而对目标进行一次额外的武器攻击，作为同一个动作的一部分。
每个回合你都只能使用一次该特性。</t>
  </si>
  <si>
    <t>命极之手</t>
  </si>
  <si>
    <t>从17级起，你对生命能量的掌握打开了通往命流奥义的大门，以一个动作，你可以接触一个在过去24小时内死亡生物的尸体并消耗5点气，该生物则会复活，恢复相当于4D10+你的感知调整值的生命值。
如果该生物是在以下这些状态时死亡，它会在移除这些状态后复活：目盲、耳聋、麻痹、中毒和震慑。
一旦你使用了这个特性，你就不能再使用它，直至你完成一次长休。</t>
  </si>
  <si>
    <t>黑暗强运</t>
  </si>
  <si>
    <t>第6级起，你可以呼唤你的宗主有利的改写你的命运。
当你进行属性检定或豁免检定时，可以使用该特性为此次掷骰增添一个d10骰。你可在看到掷骰结果后，其结果生效前使用该特性。
直到你必须完成一次长休或短休才能再次使用该特性。</t>
  </si>
  <si>
    <t>收束未来</t>
  </si>
  <si>
    <t>十四级特性
你可以透视可能的未来，并魔法地将其中一个未来引导至你周遭发生的事物上，以确保特定的结果发生。
当你或60尺内一个你可以看见的生物进行一次攻击检定，属性检定或者豁免检定时，你可以以你的反应来跳过掷骰，直接决定骰子结果将会是使检定成功的最低骰值，或者比该骰值低出一点（由你选择）。
当你使用该特性时，你获得一级力竭。
你只能通过长休来移除以此法获取的力竭。</t>
  </si>
  <si>
    <t>坟墓之眼</t>
  </si>
  <si>
    <t>生死流转</t>
  </si>
  <si>
    <t>18级起，你的战意能延缓死亡的到来。
如果你受到会将你的生命值降到0且不会完全杀死你的伤害，你可以使用你的反应来延缓倒地昏迷，而且你立刻获得一个额外的回合并打断当前回合。
当你在这个额外回合为0生命值时，承受伤害仍旧如往常一样造成死亡豁免失败，而且失败3个死亡豁免仍旧会杀死你。
当这个额外回合结束时，如果你还是0生命值，你倒下并昏迷。
你使用这个特性后，你在完成一次长休前不能再次使用。</t>
  </si>
  <si>
    <t>星我之臂</t>
  </si>
  <si>
    <t>从3级起，你对气的掌握允许你召唤出星我的一部分。
以一个附赠动作，你可以花费1点气来召唤你的星我之臂，当你这么做时，你选择的每一个你所见的10尺范围内的生物必须进行一次敏捷豁免检定，如果失败则受到相当于你两倍武艺骰的力场伤害。
在10分钟内，这些幽光般的手臂会盘旋在你的肩膀附近或环绕着你的手臂（由你选择），你来决定手臂们的外观，如果你失能或死亡，它们就会立即消失。
当星我之臂出现时，你将获得如下增益：
你进行力量检定和力量豁免检定时，可以用你的感知调整值来代替力量力量调整值。
你可以用星我之臂进行徒手攻击。
当你在自己回合用星我之臂进行徒手攻击时，你的触及范围增加5尺。
当你用星我之臂进行徒手攻击时，可以用感知调整值代替力量或敏捷调整值来进行攻击检定和伤害检定，它们的伤害类型是力场。</t>
  </si>
  <si>
    <t>邪魔体魄</t>
  </si>
  <si>
    <t>第10级起，每当你完成一次长休或短休后你都可以选择一种伤害类型。
直到你使用此能力选择另外一种伤害类型之前，你都拥有对于所选伤害类型的抗性。
魔法武器或银质武器所造成的伤害无视此抗力。</t>
  </si>
  <si>
    <t>调节密度</t>
  </si>
  <si>
    <t>2级重力魔法特性
使用一个动作，你能魔法地改一个物件或生物的重量，目标必须变位于你30尺内，且你能看见目标。
物件和生物必须为大型或更小的。
目标的重量减半或者翻倍，持续时间至多一分钟，或在你的专注终止（如同你专注法术一样）时提前结束。
当一个生物的重量通过该效果减半时，该生物的移动速度增加10尺，跳跃距离变为正常的两倍，并且在进行力量检定或者力量豁免时具有劣势。
当一个生物的重量通过该效果翻倍时，该生物的移动速度减少10尺，并且在进行力量检定或者力量豁免时具有优势。
当在该职业到达10级时，你能对一个巨型或更小的物件或生物使用本特性。</t>
  </si>
  <si>
    <t>引导神力:往墓之途</t>
  </si>
  <si>
    <t>紫龙骑士是一个特殊的、与科米尔地区的骑士绑定的范型。</t>
  </si>
  <si>
    <t>星我之容</t>
  </si>
  <si>
    <t>从6级起，你可以召唤你的星我之容，以一个附赠动作，或者作为你召唤星我之臂时的附赠动作中的一部分，你可以花费1点气来召唤星我之容，持续10分钟，如果你失能或死亡，则它会立即消失。
幽光般的头盔或面具遮挡着你的脸，你来决定它的外观。
当星我之容存在时，你将获得如下增益：
星之视觉：你在黑暗中拥有120尺的可视距离，而无论其属于魔法黑暗还是非魔法黑暗。
灵魂感知：你的感知（洞悉）和魅力（威吓）检定具有优势。
灵魂之语：当你说话时，你可以将你的话语指向你选择的一个60尺范围内的可视生物，这种情况下只有这个生物才能听到你的声音。
或者你可以放大你的声音，这种情况下600尺内的所有生物都能听到你的声音。</t>
  </si>
  <si>
    <t>直坠噩梦</t>
  </si>
  <si>
    <t>第14级起，每当你的攻击成功命中一个生物时，你可以使用此能力将目标瞬间传送并穿越下层位面。
该生物立刻消失并前往如同噩梦一般的风景。
在你下一回合结束时，目标返回先前所占据的空间、或是最近的未被占据空间。
如果目标并非邪魔，则他因这次可怖的经历而受到10d10点心灵伤害。
你必须完成一次长休才能再次使用该特性。</t>
  </si>
  <si>
    <t>重力井</t>
  </si>
  <si>
    <t>6级重力魔法特性
你学会了如何在一个活体上操纵重力：无论何时你对一个生物释放法术，只要该目标自愿被移动，或是法术攻击命中了该目标，亦或是该目标在对抗这道法术的豁免时失败了，你就能让该目标朝着一个由你选择且未被占据的空间移动5尺。</t>
  </si>
  <si>
    <t>重整姿态</t>
  </si>
  <si>
    <t>从3级起，你学会了如何激励你的盟友来对抗伤害。
当你使用你的回气能力，你可以选择在你60尺范围内最多3个盟友，他们每个人都恢复等同于你的战士等级的生命值。
他们必须要能看到或者听到你的声音才能获得这个好处。</t>
  </si>
  <si>
    <t>星我之躯</t>
  </si>
  <si>
    <t>从11级起，当你同时召唤星我之臂和星我之容时，你可以让你的星我之躯出现（不需要任何动作），这个幽光般的躯体如同一件盔甲般复盖着你的身体，与星我之臂和星我之容相连。
你来决定它的外观，当星我之躯出现时，你将获得如下增益：
拨挡能量：当你受到强酸、冷冻、火焰、力场、闪电或雷鸣伤害时，你可以用你的反应来偏转它，如果你这么做，则你所受的该次伤害减少1D10+你的感知调整值（最小减少1）。
注能之臂：你的每回合中有一次机会，当你用星我之臂攻击命中目标时，你可以对目标造成额外伤害，相当于你的武艺骰。</t>
  </si>
  <si>
    <t>你的宗主是一个神秘的存在实体，其本质与现实的结构格格不入。
它可能来自于遥远国度，现实之外的空间，或是一位只有在传说之中才能有所耳闻的古神。
其行为无法让凡人理解，其知识却异常的渊博，乃至世间最伟大的图书馆也无法与其掌握的虚空之秘想比拟。
旧日支配者可能完全没有意识到你的存在或是对你的存在无动于衷，但你所学的神秘知识让你得以从其身上获得魔法。
这类存在包括被称作“潜伏者”的关纳德、“受缚之神”萨瑞兹顿、“暗夜巨蛇”丹达尔、“归来者”扎贡、“伟大克苏鲁”，以及其他一些不可名状之存在。</t>
  </si>
  <si>
    <t>狂暴牵引</t>
  </si>
  <si>
    <t>10级重力魔法特性
当一个除你以外，位于你60尺内且你可见的生物被武器攻击命中时，你能用你的反应加快这次攻击的速度，使得被攻击的目标额外受到1d10的该武器类型所造成的伤害。
此外，如果一个位于你60尺内的生物遭受了坠落伤害，你能用你的反应来增加这次坠落所造成的伤害，增加值为2d10。
你能使用本特性的次数等于你的智力调整值（最少一次）。
当你完成一次长休后，你恢复所有的使用次数。</t>
  </si>
  <si>
    <t>皇家特使</t>
  </si>
  <si>
    <t>从7级起，你熟练于说服技能。
如果你已经对这项技能熟练，你可以选择以下列表中的一项技能熟练：驯养动物，洞悉，威吓，表演。
你在进行魅力（说服）检定时可以将双倍的熟练值加在上面。
你始终获得这个好处，不管你是否从这个能力中得到了对于说服技能的熟练。</t>
  </si>
  <si>
    <t>星我觉醒</t>
  </si>
  <si>
    <t>从17级起，你与星我之间的连接趋近完美，你能够释放它的全部潜能。
以一个附赠动作，你可以花费5点气召唤你的星我之臂、星我之容和星我之躯，这种星我觉醒状态持续10分钟，如果你失能或死亡，这种觉醒状态会提前结束。
当你处于星我觉醒时，你将获得如下增益：
灵魂盔甲：你的AC获得+2加值。
星之连击：当你使用额外攻击特性进行两次攻击时，可以改为三次攻击，所有的攻击必须都是星我之臂进行的。</t>
  </si>
  <si>
    <t>旧日支配者扩展法术</t>
  </si>
  <si>
    <t>法术环阶——法术
1环——不谐低语，塔莎狂笑术
2环——侦测思想，魅影之力
3环——鹰眼术，短讯术
4环——支配野兽，艾伐黑触手
5环——支配人类，心灵遥控</t>
  </si>
  <si>
    <t>事件视界</t>
  </si>
  <si>
    <t>14级重力魔法特性
使用一个动作，你能魔法地发散出由重力能量引起的强大力场，力场能把其他生物拖拽至多1分钟，或在你的专注终止（如同你专注法术一样）时结束。
在持续时间内，当一个位于你30尺内，且与你敌对的生物开始回合时，该生物必须进行一次力量豁免对抗你的法术DC。
当豁免失败时，该生物受到2d10的力场伤害，并且移动速度降低至0尺，减速持续直到该生物的下一个回合开始。
当豁免成功时，该生物受到一半的伤害，并且每移动一尺就需要额外花费2尺的移动力。
一旦你使用了本特性，你不能再次使用，直到你完成了一次长休或花费一个3环或更高的法术位来再次启动。</t>
  </si>
  <si>
    <t>振奋之潮</t>
  </si>
  <si>
    <t>从10级起，每当你使用你的动作如潮能力时，你可以选择一个在你周围60尺内的盟友，他可以立刻用他的反应进行一次近战或者远程武器攻击。
他必须要能看见或者听见你的声音才能获得这个好处。
从18级起，你可以选择两个盟友。</t>
  </si>
  <si>
    <t>唤醒心灵</t>
  </si>
  <si>
    <t>第1级时，你的异界知识赋予你接触其他生物心灵的能力。
你可以与身边30尺内任意你能看见的生物通过心灵感应方式进行交流。
你不必须懂得该生物的语言也能使其理解你通过心灵感应所传达的话语，但它必须至少能够理解一种语言。</t>
  </si>
  <si>
    <t>法师之笔</t>
  </si>
  <si>
    <t>2级起，以一个附赠动作，你能用魔法创造一支微型羽毛笔。
这支魔法羽毛笔具有以下特性：
这支毛笔不需要墨水，当你用它书写时，它会在用于书写的表面上自行生成墨水，颜色由你选择。
若你使用这根羽毛笔来将法术抄入法术书，你只需花费每个法术等级2分钟的时间。
若你用羽毛笔书写的文本在你身边5尺范围之内，你可以用一个附赠动作在文字上方晃动羽毛将其消除。
这根羽毛笔将在你创造另一支笔或是死亡时消失。</t>
  </si>
  <si>
    <t>奥秘领域法术</t>
  </si>
  <si>
    <t>1st 侦测魔法，魔法飞弹
3rd 魔化武器，涅斯图魔法灵光
5th 解除魔法，防护法阵
7th 秘法眼，李欧蒙秘藏箱
9th 异界誓缚，传送法阵</t>
  </si>
  <si>
    <t>意志壁垒</t>
  </si>
  <si>
    <t>从15级起，你可以延展你的不屈能力作用于你的盟友。
每当你决定用不屈重投智力，感知或者魅力豁免并且你未处于失能状态，你可以选择一个在你60尺距离内对同样的效果豁免失败的盟友。
如果他能看见你或者听见你的声音，他可以重投豁免骰。
他必须采用新的结果。</t>
  </si>
  <si>
    <t>熵光结界</t>
  </si>
  <si>
    <t>第6级时，你习得了一种可以帮你抵挡攻击的魔法结界，并可将敌人失败的攻击转化为自己的幸运。
当一个生物对你发动攻击检定时，你可以用你的反应迫使该攻击检定具有劣势。
如果该攻击检定失败，则你直至你下一回合结束前，下一次对该生物发动攻击检定时具有优势。
你必须完成一次长休或短休后才能再次使用该特性。</t>
  </si>
  <si>
    <t>觉醒魔典</t>
  </si>
  <si>
    <t>2级起，通过特别准备的墨水和书士会所传承的咒语，你唤醒了法术书中具有智能的奥法存在。
当你持握法术时，它将为你提供以下增益：
你可以将本书用作施展法师法术的法器。
当你消耗法术位施展一个法师法术时，你可以将它的伤害类型替换为你法术书内另一个法术的伤害类型：你的法术书用魔法改变了此次施法所用的奥法公式，后一个法术的等级必须与你花费的法术位等级相同。
当你用仪式施法施展一个法术时，你可以使用法术的正常施法时间，而不用额外增加10分钟，你必须完成一次长休才能再次使用此增益。
如有必要，你可以在一次短休时用你的法师之笔，在空白书本或是你与之同调的魔法法术书上画下奥术魔印，短休结束时，你原本法术书内的意识将会带着旧书它所记载的所有法术转移到新书之中、将其变为你的法术书，如果旧书依旧在某处存在，它上面所记载的所有法术将消失。</t>
  </si>
  <si>
    <t>从1级起，你得到奥秘技能的熟练，并且你可以从法师法术列表选择两个戏法掌握。
对于你而言，这些戏法是牧师戏法。</t>
  </si>
  <si>
    <t>显现回音</t>
  </si>
  <si>
    <t>3级回音骑士特性
你能使用一个附赠动作来在你可见的15尺内，一处尚未被占据的空间处，魔法地显现一个你自身的回音。
该回音是魔法的，半透明的，形如你的黑白形象，回音持续直到被摧毁、你用一个附赠动作消解、显现另一个回音，或你处于失能状态。
你的回音的AC值为14+你的熟练值，生命值为1，并对所有的状态都免疫。
如果回音要进行一次豁免，它在这次豁免中使用你的豁免调整值。
它的体型和你一样，并且会占据空间。
在你的回合时，你能精神地命令回音朝任意方向移动至多30尺（无需动作）。
如果你的回音在你的回合结束时远离你超过30尺，那么它会被摧毁。
你能按照以下方法使用回音：
使用一个附赠动作，你能消耗15尺的移动力进行传送，魔法地与你的回音交换位置，且无论回音与你之间的距离。
当你在你的回合里进行攻击动作时，你用该动作进行的任何攻击可以用你或回音的空间作为源点。每一次攻击的源点都由你决定。
当一个位于你的回音5尺内，且你可见的生物远离回音至少5尺时，你能用你的反应动作来对该生物进行一次借机攻击，就如同你位于回音的空间上一样。</t>
  </si>
  <si>
    <t>思维之盾</t>
  </si>
  <si>
    <t>第10级时，除非获得你的允许，否则你的思维无法被心灵感应或者其他手段阅读。
此外你还具有对心灵伤害抗性，且每当一个生物对你造成心灵伤害时，该生物将受到与你相同的伤害。</t>
  </si>
  <si>
    <t>神识显现</t>
  </si>
  <si>
    <t>6级起，你能将你觉醒法术书中的意识召唤出来。
当你持有该法术书时，你可以以一个附赠动作令书中的意识显现为一个微型的灵体物件，使其悬浮于距离你60尺以内且未被占据的、由你选择的空间中。
这一灵体意识是无形的，不会占据其空间，并会在其周围半径10尺范围内发出微光光照。
它看上去如同一本灵体卷宗、一摞文字、或是一位历史中的学者（由你选择）。
显现时，该灵体意识能够听音视物，并具有60尺的黑暗视觉。
它能用心灵感应将它所看见和听到的信息分享给你（无需动作）。
每当你在自己的回合内施放法师法术时，你可以使用灵体意识的感官、如同身处它所在的空间一样释放该法术。
你能使用该能力的次数等于你的熟练价值，完成一次长休后，你将重获所有消耗掉的使用次数。
以一个附赠动作，你可以令灵体意识飘浮到其周围30尺内、你或它可见且未被占据的空间。
灵体意识可以穿过生物但不能穿过物件。
若遇到以下情况之一，灵体意识的显现将会停止：与你的距离超过300尺，成为解除魔法的目标，觉醒魔法书被摧毁，你死亡时，或是你以一个附赠动作将其驱散。
召唤过灵体意识后，你必须完成一次长休、或是消耗一枚任意环位的法术位，才能再次召唤。</t>
  </si>
  <si>
    <t>引导神力：奥秘阻绝</t>
  </si>
  <si>
    <t>释放化身</t>
  </si>
  <si>
    <t>3级回音骑士特性
你能增强你回音的狂怒。
无论何时你进行攻击动作，你能在回音的位置上进行一次额外的近战攻击。
你能使用本特性的次数等于你的体质调整值（最少一次）。
当你完成一次长休后，你恢复所有的使用次数。</t>
  </si>
  <si>
    <t>创造奴仆</t>
  </si>
  <si>
    <t>第14级时，你从获得以宗主的异界魔法感染类人生物心智的能力。
你可以用你的动作触碰一个处于失能状态的类人生物。
该生物随即陷入受你魅惑的状态，直至被施以法术移除诅咒、其魅惑状态被移除，或直至你再使用此特性。
只要你和你的奴仆处于同一位面，你就可以通过心灵感应与你的奴仆进行交流。</t>
  </si>
  <si>
    <t>书士宗师</t>
  </si>
  <si>
    <t>10级起，每当你完成一次长休，你可以令你的法师笔触碰一张空白的纸张或是羊皮纸，以将你觉醒魔典中的一个法术并复制到这张纸上、并制造一个魔法卷轴。
你制造卷轴时，魔典必须在你5尺之内，被复制的法术必须是1环或2环法术，且施法时间必须为1个动作。
卷轴将增强法术的力量，令其视为比平常高1环阶的法术。
你可以以一个动作阅读卷轴来施展其中的法术。
卷轴对其他任何人都不可理解，且当你施展其中法术、或是完成下次长休后，卷轴上记载的法术将会消失。
你同样熟练于制造城主指南第七章中所描述的法术卷轴。
若你使用你的法术笔制造卷轴，所需要花费的金币和时间减半。</t>
  </si>
  <si>
    <t>幻想杀手</t>
  </si>
  <si>
    <t>从6级起，每次你使用1环或者更高环数的法术恢复了一名盟友的生命值，你同时可以选择作用于此生物的一个法术终止。
被终止的法术等级不能高于你用来施放恢复法术所占用的法术位。</t>
  </si>
  <si>
    <t>回音化身</t>
  </si>
  <si>
    <t>7级回音骑士特性
你能暂时地将你的意识转移到回音上。
使用一个动作，你能用你的回音的双眼和双耳来视物与聆听。
在这期间，你本体处于目盲和耳聋状态。
你能维持这种效果至多10分钟，并且你能随时终止该效果（无需动作）。
当你用这种方法操纵回音时，它能远离你至多1000尺而不被摧毁。</t>
  </si>
  <si>
    <t>你的宗主是上层位面的强大存在。
你和一位古老的至高天、炽天神侍、麒麟、独角兽，或其他居住于那些永享极乐的位面中的存在立下了契约。
你与它们的契约让你体会到裸身沐浴在照亮多元宇宙的圣光中的独特体验。
沐浴在如此力量中，会改变你的行为和信念。
你可能发现自己投身于消灭不死生物、抵御魔族、保护无辜者的事业当中。
不时地，你的心中会充斥着对你宗主拥有的天国的渴望，期冀于在你的余生中享有的天堂美景。
但你知道你现在的任务是栖身于凡世之中，并给世界的黑暗角落带去光明。</t>
  </si>
  <si>
    <t>书人合一</t>
  </si>
  <si>
    <t>14级起，你和你的觉醒魔法书的联系已经变得如此深刻，以至于你的灵魂已经和它缠结在一起。
携带这本书时，你在所有智力（奥秘）检定中具有优势，因为法术书能够帮助你记住魔法学识。
此外，如果你在法术书的意识处于显现状态时受到伤害，你可以利用你的反应驱散灵体意识、利用其中的魔法来拯救自己，从而避免所有对你的伤害，之后，掷3d6，法术书暂时失去由你自选的法术，其环阶之和必须大于或等于骰值。
例如，如果骰值是9，则从书中消失的法术环阶之和至少为9——或许是一个9环法术，或是三个3环法术，或其他组合方式。
如果书中没有足够的法术来支付这个代价，你就会降到0点生命。
你必须完成1d6次长休，才能再次施放失去的法术；在此期间，即使你在卷轴上或其他法术书中找到这些法术，也不能施展它们。
完成所需的长休次数后，法术会重新出现在法术书中，用过这个反应之后，你必须完成一次长休才能再次使用。</t>
  </si>
  <si>
    <t>从8级起，在你的任何牧师戏法造成的伤害中加上你的感知加值。</t>
  </si>
  <si>
    <t>阴影殉道者</t>
  </si>
  <si>
    <t>10级回音骑士特性
在一个除你以外的，且你可见的生物受到攻击前，你能让你的回音冲向该生物。
在攻击检定投掷前，你能用你的反应动作来传送回音到目标生物周围5尺内，尚未被占据的空间。触发该反应的攻击检定将由你的回音代为承受。
一旦你使用本特性，直到你完成一次短休或长休前，你不能再次使用。</t>
  </si>
  <si>
    <t>天界宗主扩展法术</t>
  </si>
  <si>
    <t>法术环阶——法术
1st——疗伤术，曳光弹
2nd——炽焰法球，次级复原术
3rd——昼明术，回生术
4th——信仰守卫，火墙术
5th——焰击术，高等复原术</t>
  </si>
  <si>
    <t>奥术宗师</t>
  </si>
  <si>
    <t>从17级起，你从法师的施法列表中选择6环、7环、8环、9环法术各一，并将它们加入自己的领域法术列表。
你总是准备了它们，并且对你而言它们被视为牧师法术。</t>
  </si>
  <si>
    <t>回收潜能</t>
  </si>
  <si>
    <t>15级回音骑士特性
你已经学会吸收你回音上转瞬即逝的魔力。
当你的一个回音因承受伤害而被摧毁，而你也没有临时生命值时，你获得相当于2d6+体质调整值点数的临时生命值。
你能使用本特性的次数等于你的体质调整值（最少一次）。
当你完成一次长休后，你恢复所有的使用次数。</t>
  </si>
  <si>
    <t>额外戏法</t>
  </si>
  <si>
    <t>在1级时，你学会了光亮术和圣火术两个戏法。
他们对你而言是契术师戏法，但并不计入到你的契术师可知戏法总数中。</t>
  </si>
  <si>
    <t>秩序领域法术</t>
  </si>
  <si>
    <t>1st——命令术，英雄气概
3rd——人类定身术，诚实之域
5th——群体治愈真言，缓慢术
7th——强迫术，生物定位术
9th——通神术，支配人类</t>
  </si>
  <si>
    <t>一人成军</t>
  </si>
  <si>
    <t>18级回音骑士特性
当你用一个附赠动作使用显现回音时，你能创造两个回音，并且这些回音能够共存。
如果你尝试创造第三个回音，那么前面的两个回音就会被摧毁。
你能够在其中一个回音的位置上进行的所有事情都能用另一个回音进行替换。
此外，当你投掷先攻时，如果你的释放化身特性没有剩余可用次数，那么你重获一次释放化身的使用次数。</t>
  </si>
  <si>
    <t>治愈之光</t>
  </si>
  <si>
    <t>在1级时，你得到了引导天界能量以治疗伤口的能力。
你获得了一个d6骰池，用以使用此治愈能力。骰池的总数等于1+你的契术师等级。
以一个附赠动作，你可以消耗骰池，治疗一个你视线中的、距你60尺以内的生物。
单独一次能消耗的最大骰子数量等于你的魅力调整值（最小为1）。
投掷你消耗的骰子，将骰值相加来决定所能恢复的生命值总量。
当你完成一次长休后，骰池重获所有已消耗的骰子。</t>
  </si>
  <si>
    <t>从3级起，你获得对于铁匠工具的熟练项，并且你学会了说、读和写巨人语。</t>
  </si>
  <si>
    <t>光耀之魂</t>
  </si>
  <si>
    <t>从6级开始，你所连接的天界宗主允许你成为光耀能量释放的渠道。
你获得对光耀伤害的抗性，当你施展一个造成光耀或火焰伤害的法术时，你可以将你的魅力调整值加到法术对其中一个目标造成的一次光耀或火焰伤害骰上。</t>
  </si>
  <si>
    <t>权威之音</t>
  </si>
  <si>
    <t>从1级起，你可以调用律法的力量来驱使一位盟友进攻。
如果你施展了一个一环或高于一环并目标是一位盟友的法术，那位盟友可以在法术后立即使用她们的反应来对你指定且能看见的一名目标进行一次武器攻击。
如果法术指定了超过一名盟友，则由你来选择发动攻击的盟友。</t>
  </si>
  <si>
    <t>符文雕刻者</t>
  </si>
  <si>
    <t>从3级起，你可以使用魔法符文来增强你的装备。
你可以从下列的被描述的符文当中，选择并学会两个符文，且每当你在此职业中升一级，你可以从此特性中选择一个不同的符文来替换一个你已知的符文。
当你达到特定的职业等级，你可以学会更多的符文，具体数量如下表所示：
已知符文数量
战士等级：已知符文数 
第3级：2
第7级：3
第10级：4
第15级：5
每当你完成了一次长休，你可以接触数量等于你已知符文数物品，并在每个物品上铭刻不同的符文。
符合条件的物品必须为一把武器、一套盔甲、一面盾牌、一件首饰或者任何其他你可以穿着或手持的物品。
你的符文会保留在物品上直到你完成一次长休，且一件物品同时只能承载你的一个符文。
当你研习符文时，下列的符文成为了你的可选项。
如果一个符文具有等级需求，你的战士等级必须达到相应等级才能研习该符文。
如果一个符文需要通过豁免检定，你的符文魔法豁免DC等于8+你的熟练加值+你的体质调整值。</t>
  </si>
  <si>
    <t>天界韧性</t>
  </si>
  <si>
    <t>从10级开始，当你完成一次长休或短休后，你会得到临时生命值。
得到的临时生命值等于你的契术师等级+你的魅力调整值。
另外，在你完成休息时，你可以选择最多五个视线中的生物。
这些生物各自获得等于你的契术师等级的一半+你的魅力调整值的临时生命值。</t>
  </si>
  <si>
    <t>引导神力：秩序之令</t>
  </si>
  <si>
    <t>从2级起，你可以用你的引导神力来对他人施以恐吓。
以一个动作，你展示出你的圣徽，30尺内你所指定的每个能看到或听到你的生物必须成功通过一次感知豁免，否则直到你下个回合结束或受到一次伤害，生物将被你魅惑。
当生物豁免失败时，你还可以指定任意被你魅惑的生物扔掉手中所持物。</t>
  </si>
  <si>
    <t>云之符文</t>
  </si>
  <si>
    <t>该符文模拟了一些云巨人使用的欺骗性法术。
当你穿着或持有一个铭刻此符文的物品，你在敏捷（巧手）检定和魅力（欺瞒）检定上获得优势。
此外，当你或一个对你30尺内可视的生物经过攻击检定被击中，你可以使用一个反应动作对此符文激活并选中一个除攻击者以外的其他生物。
被选中的生物变成该攻击的目标，并适用同样的攻击检定。
该异能可转换的攻击效应与攻击距离无关。
每当你激活该符文，你无法再次使用该异能直到你完成一次短休或长休。</t>
  </si>
  <si>
    <t>灼光复仇</t>
  </si>
  <si>
    <t>从14级开始，你引导的光耀能量能让你抵抗死亡。
当你在回合开始需要进行一次死亡豁免检定时，你可以选择在一次光耀能量的爆发中一跃而起。
你恢复等于你最大生命值一半的生命值，如果你愿意的话可以选择处于站立状态。
距你30尺以内的、你所选择的所有生物受到2d8+你的魅力调整值的光耀伤害，并且目盲到你当前回合的结束。
当你使用这个职业特性后，在你完成一次长休前你无法再次使用此能力。</t>
  </si>
  <si>
    <t>法律化身</t>
  </si>
  <si>
    <t>火之符文</t>
  </si>
  <si>
    <t>该符文的异能可以引导伟大铁匠的高超技艺。
当你穿着或持有一个铭刻此符文的物品，你在进行使用工具的熟练项进行技能检定时，你的熟练加值翻倍。
此外，当你使用一次武器攻击击中了一个生物，你可以激活此符文来召唤炽热镣铐：目标受到额外2d6的火焰伤害，且目标必须通过一次力量豁免检定，如果失败则被束缚1分钟。
当目标被炽热镣铐束缚时，目标在它的每回合开始时受到2d6的火焰伤害。
目标可以在每个自己回合结束时重复进行此豁免检定，直到成功解除束缚。
每当你激活该符文，你无法再次使用该异能直到你完成一次短休或长休。</t>
  </si>
  <si>
    <t>你和一个来自堕影冥界的神秘实体订立了契约，那些由阴影物质雕琢的智能魔法武器隐约显露了其力量。
强悍的魔法剑黑刃是这些武器中最令人瞩目的，它在无数年间辗转于多元宇宙之中。
这些武器背后的暗影之力，能为与其立契的契术师提供力量。
许多咒剑契术师模仿那些在堕影冥界中锻造的武器塑造自己的兵刃，而其他人则选择放弃这些武器，转向链接堕影冥界的暗影魔法网络来施展法术。
鉴于人尽皆知是鸦后锻造出了最初的此类武器，许多贤者推测她就是暗影武器的幕后黑手，而这些武器——以及咒剑契术师们——都是她用来玩弄物质位面的是非，以实现她难以揣测的目的的工具。</t>
  </si>
  <si>
    <t>霜之符文</t>
  </si>
  <si>
    <t>该符文的魔力唤起了那些在寒冷荒野中生存下来的存在的力量，比如霜巨人。
当你穿着或持有一个铭刻此符文的物品，你在感知（驯兽）检定和魅力（威吓）检定上获得优势。
此外，你可以用一个附赠动作对该符文激活来提高你的体能。
十分钟内，你的所有使用力量、体质的能力和相关豁免检定获得+2的加值。
每当你激活该符文，你无法再次使用该异能直到你完成一次短休或长休。</t>
  </si>
  <si>
    <t>咒剑士扩展法术</t>
  </si>
  <si>
    <t>法术等级——法术
1st——护盾术，怒火斩
2nd——朦胧术，印记斩
3rd——闪现术，元素武器
4th——幻影杀手，惊惧斩
5th——放逐斩，寒冰锥</t>
  </si>
  <si>
    <t>秩序之怒</t>
  </si>
  <si>
    <t>石之符文</t>
  </si>
  <si>
    <t>该符文的魔力可以引导和石巨人相关的智慧（judiciousness）。
当你穿着或持有一个铭刻此符文的物品，你在感知（洞悉）的检定上获得优势，且你获得120尺的黑暗视觉。
此外，当一个30尺内对你可见的生物结束它的回合，你可以使用一个反应动作来对该符文激活，并强迫该生物进行一次感知豁免检定。
如果检定失败，该生物被你魅惑一分钟。
如果以该形式被魅惑，此生物移动速度降为0且进入失能状态，陷入梦幻般的麻木状态。
目标可以在每个自己回合结束时重复进行此豁免检定，直到成功解除该状态。
每当你激活该符文，你无法再次使用该异能直到你完成一次短休或长休。</t>
  </si>
  <si>
    <t>巫咒战士</t>
  </si>
  <si>
    <t>在1级时，你获得了有效的战斗训练。
你得到对于中甲，盾牌，和军用武器的熟练。
此外，你宗主的影响也让你得以通过一把特殊武器来魔法的引导你的意志。
当你结束一次长休息，你都能够触摸一把你已经熟练的、非双手武器，你可以在攻击和伤害检定中，使用你的魅力调整值，以代替力量或敏捷。
这个好处保留到你再次完成长休息。
如果你在后续获得锋刃契约，此好处将扩展到你用这个魔契召唤的每一把契约武器上，没有武器类型的限制。</t>
  </si>
  <si>
    <t>和平领域法术</t>
  </si>
  <si>
    <t xml:space="preserve">牧师等级—法术
1st—英雄气概，庇护术
3rd—援助术，守护之链
5th—希望信标，短讯术
7th—净化灵光，欧提路克弹力法球
9th—高等复原术，拉瑞心灵连接
</t>
  </si>
  <si>
    <t>山丘符文</t>
  </si>
  <si>
    <t>该7级符文的魔力可以赋予如山巨人一般的坚韧。
当你穿着或持有一个铭刻此符文的物品，你在中毒状态的豁免检定上获得优势，且你对于毒素伤害具有抗性。
此外，你可以使用一个附赠动作对该符文激活，获得1分钟的钝击、挥砍和穿刺伤害抗性。
每当你激活该符文，你无法再次使用该异能直到你完成一次短休或长休。</t>
  </si>
  <si>
    <t>咒剑诅咒</t>
  </si>
  <si>
    <t>和平执行</t>
  </si>
  <si>
    <t>从1级起，你获得洞察，表演或游说的熟练项（由你选择）。</t>
  </si>
  <si>
    <t>风暴符文</t>
  </si>
  <si>
    <t>通过使用该7级符文，你可以像一个风暴巨人预言者一样瞥见未来。
当你穿着或持有一个铭刻此符文的物品，你在智力（奥秘知识）检定上获得优势，且你不会被突袭只要你没有进入失能状态。
此外，你可以使用一个附赠动作对该符文激活来进入先知形态，时间为1分钟或直到你失能。
在该形态结束之前，当你或另一个60尺内且对你可见的生物进行一次攻击检定、一次豁免检定或一次能力检定，你可以使用一个反应动作使这次检定获得优势或劣势。
每当你激活该符文，你无法再次使用该异能直到你完成一次短休或长休。</t>
  </si>
  <si>
    <t>咒缚幽灵</t>
  </si>
  <si>
    <t>勇气联结</t>
  </si>
  <si>
    <t>巨人之力</t>
  </si>
  <si>
    <t>从3级起，你已经学会了如何使用巨人之力灌注自身。
你可以使用一个附赠动作，魔法性地获得以下能力，持续一分钟。
如果你的体型小于大型，你和你所穿戴的所有物品一起变为大型，如果你缺少变为大型的空间，则你的体型无法发生变化。
你在力量检定和力量豁免检定上获得优势
你的每回合内一次，你的武器攻击或徒手打击可以在击中后对目标造成额外1d6的伤害。
该特性的可使用次数等于你的熟练加值，且你可以在完成一次长休之后恢复所有已使用的次数。</t>
  </si>
  <si>
    <t>巫咒盔甲</t>
  </si>
  <si>
    <t>在10级时，你的巫咒变得更加强大。
若你以咒剑诅咒所指定的目标以一次攻击检定击中你，你可以用你的反应投一次d6。
在4或更高的结果下，这次攻击改为对你失手，不论骰值是多少。</t>
  </si>
  <si>
    <t>引导神力：和平抚慰</t>
  </si>
  <si>
    <t>符文之盾</t>
  </si>
  <si>
    <t>从7级起，你学会了激活你的符文魔法来保护你的盟友。
当另一个60尺内且对你可见的生物被一次攻击检定命中，你可以使用一个反应动作来强迫攻击者重新投掷d20并采用新的攻击检定结果。
该特性的可使用次数等于你的熟练加值，且你可以在完成一次长休之后恢复所有已使用的次数。</t>
  </si>
  <si>
    <t>巫咒大师</t>
  </si>
  <si>
    <t>从14级起，你可以转移你的咒剑诅咒，从一个被杀的生物转移到另一个生物。
当被你的咒剑诅咒所指定的生物死亡时，假如你并未失能，你可以将诅咒转移到一个距离你30尺内你能看到的其他生物身上。
当你以此法转移诅咒，你不再从先前目标的死亡中获得生命值回复。</t>
  </si>
  <si>
    <t>保护联结</t>
  </si>
  <si>
    <t>从6级起，你创造的联结帮助人们同甘共苦。
当一个受到你勇气联结影响的生物即将受到伤害时，30尺内的另一个联结生物可以用它的反应来传送到第一个生物的5尺内，并为其承受所有伤害。</t>
  </si>
  <si>
    <t>奇伟身躯</t>
  </si>
  <si>
    <t>从10级起，符文的魔力永久性的改变了你。
当你获得该特性时，投掷3d4。
你的身高增加该骰结果的英寸数。
此外，你的巨人之力特性造成的额外伤害提高至1d8。</t>
  </si>
  <si>
    <t>你的宗主早已破译了有关无穷生命的奥秘，死亡对于他而言不再有任何威胁。
他不介意和一个凡人——在他看来寿命有如四季般更替、有如昼夜般闪烁的凡人分享他的力量，作为服务于他的一点奖赏。
这类存在包括万隐万秘之主宰维克那，邪恶者伊乌兹，不朽殿的艾伦诺，吉斯洋基人的君王维拉基斯，还有不死的黑袍巫师费斯坦但提勒斯。</t>
  </si>
  <si>
    <t>从8级起，你施展牧师戏法造成伤害时，可以再加上你的感知调整值。</t>
  </si>
  <si>
    <t>符文大师</t>
  </si>
  <si>
    <t>从15级起，你可以对每个你在符文雕刻者特性中已知的符文激活两次，而不是一次，且你可以在完成一次短休或长休之后恢复所有已使用的次数。</t>
  </si>
  <si>
    <t>不朽者扩展法术列表</t>
  </si>
  <si>
    <t>1st 虚假生命，致病射线
2nd 目盲术/耳聋术，沉默术
3rd 假死术，死者交谈
4th 生命灵光，防死结界
5th 疫病术，通晓传奇</t>
  </si>
  <si>
    <t>增强联结</t>
  </si>
  <si>
    <t>符文主宰</t>
  </si>
  <si>
    <t>从18级起，你学会增强你对于符文力量的转换。
因此，你的巨人之力特性造成的额外伤害提高至1d10。
此外，当你使用该特性时，你的体型变为巨型，且当你保持该尺寸时，你的触及提高5尺。</t>
  </si>
  <si>
    <t>历经死亡</t>
  </si>
  <si>
    <t>暮光领域法术</t>
  </si>
  <si>
    <t>牧师等级—法术
1st—妖火，睡眠术
3rd—月华之光，识破隐形
5th—活力灵光，李欧蒙小屋
7th—生命灵光，高等隐形术
9th—原力法阵，假象术</t>
  </si>
  <si>
    <t>灵能力量</t>
  </si>
  <si>
    <t>从3级起，你内心拥有一个灵能力量的源泉。这股能量表现为每个d6的灵能骰，你拥有两倍熟练加值的灵能骰数量，且它们为你所拥有的各种心灵异能提供能量，详情如下。
你在使用一些能力时需要消耗灵能骰，如异能描述中所述，如果一些异能在你的灵能骰全部掷完后还需要你使用一个灵能骰，你就不能使用该异能。
你可以在完成一次长休后恢复所有已使用的灵能骰。
此外，你可以使用一个附赠动作重新获得一个已使用的灵能骰，但你在完成一次短休或长休之前不能再次获得。
当你升级到特定战士等级时，你的灵能骰大小有所增长：第5级[d8]，第11级[d10]，第17级[d12]。
可以在以下异能使用你的灵能骰：
庇护力场：当你或者另一个对你30尺内可见的生物受到伤害，你可以使用一个反应动作消耗一枚灵能骰，对其降低等同于灵能骰骰出的数值加你的智力调整值的伤害（最小为1），如同你创造了一面瞬间的念力盾牌。
灵能击打：你可以用灵能驱动你的武器，你的每回合一次，当你击中并对30尺以内的目标造成武器伤害，你可以立即消耗一个灵能骰，对目标造成等同于灵能骰骰出的数值加你的智力调整值的力场伤害。
念力控物：你可以用意念移动一个物体或生物。你可以使用一个动作选中一个最多大型的物体或一个除你以外的自愿生物。如果目标在对你30尺内且可视，你可以将其移动至多30尺至一个对你可见的空地。另外，如果目标是一个小物件，你可以从你的手中给出或收回。无论采取哪种方式，你都可以或水平、或垂直、或两者都使用地移动它。
当你使用该异能时，你无法再使用该能力直到你完成一次短休或长休，除非你消耗一个灵能骰来再次使用该异能。</t>
  </si>
  <si>
    <t>反抗死亡</t>
  </si>
  <si>
    <t>从6级起，你为成功欺骗了死亡而感到振奋。
当你成功进行一次死亡豁免，或者在你使用维生术帮助其他生物稳定伤势的时候，你可以立即回复1d8+你的体质调整值（最少为1点）的生命值。
一旦你使用了这个能力，直到一次长休息之前你不能再次使用。</t>
  </si>
  <si>
    <t>从1级起，你获得军用武器和重甲的熟练项。</t>
  </si>
  <si>
    <t>念力擅长</t>
  </si>
  <si>
    <t>从7级起，你已经掌握了使用念力异能的新方式，细节如下。
灵力跃动：你可以使用一个附赠动作用你的意志来驱使你的身体。
你获得等同于两倍步行速度的飞行速度直到该回合结束。
每当你使用这个附赠动作，你无法再次使用该异能直到你完成一次短休或长休，除非你消耗一个灵能骰来再次使用该异能。
念力突刺：当你使用灵能击打对一个目标造成伤害时，你可以使目标进行一次力量豁免来对抗DC等于8+你的熟练加值+你的智力调整值。
如果豁免失败，你可以击倒目标或者将其在任意方向水平移动至多10英尺。</t>
  </si>
  <si>
    <t>不朽之理</t>
  </si>
  <si>
    <t>从10级起，你可以无限制地屏住呼吸，并且你不再需要食物、水和睡眠，虽然你仍旧需要休息来恢复疲惫并且从长/短休息中获得收益。
并且，你的年龄增长速度被放慢。
每过去10年，你的身体只会衰老1年，并且你免疫魔法衰老。</t>
  </si>
  <si>
    <t>黑夜明目</t>
  </si>
  <si>
    <t>意念守护</t>
  </si>
  <si>
    <t>从10级起，被灵能力量沐浴的你，意念得到增强，你对于心灵伤害有抗性。
此外，如果你在你的回合开始时处于魅惑或者恐慌的状态，你可以消耗一个灵能骰并结束这些状态对你的影响。</t>
  </si>
  <si>
    <t>永恒生命</t>
  </si>
  <si>
    <t>警觉赐福</t>
  </si>
  <si>
    <t>壁垒之力</t>
  </si>
  <si>
    <t>从15级起，你可以使用念力庇护你自己和其他人，你可以使用一个附赠动作选择一些可包括你在内且30尺对你可见生物，数量等于你的智力调整值（最少为1）。
每个被选中的生物获得一分钟的半掩蔽状态，该状态将会在你失能时提前结束。
每当你使用这个附赠动作，你无法再次使用该特性直到你完成一次长休，除非你消耗一个灵能骰来再次使用该特性。</t>
  </si>
  <si>
    <t>你与巨灵中的稀有群体，巨灵贵族缔结了契约。巨灵贵族乃是广阔的元素位面的统治者，并对其他次等巨灵与次等元素生物具有莫大的影响力。
巨灵贵族们的动机各不相同，但都傲慢自大且有着匹敌次等神明的强大伟力。
他们喜好让热衷于缚誓巨灵的凡人们反过来服侍他们，并对于缔结能扩张他们在多元宇宙中势力的契约有着巨大的热情。
你可以选择你宗主是哪种巨灵也可以通过巨灵种类表让骰子决定。如表所示，每种巨灵都与一种元素相对应。
【巨灵种类】：
d4 种类  对应元素
1 土巨灵 土
2 气巨灵 气
3 火巨灵 火
4 水巨灵 水</t>
  </si>
  <si>
    <t>引导神力：暮光圣域</t>
  </si>
  <si>
    <t>念力宗师</t>
  </si>
  <si>
    <t>从18级起，你用意念移动生物和物体的能力无人能及，你可以在无需施法材料的情况下使用心灵遥控（Telekinesis），此时你的施法关键属性为智力。
在每一个你对该法术维持专注的回合，包括你使用它的回合，你可以使用一个附赠动作进行一次武器攻击。
每当你使用以特性施放此法术，你无法再次使用该特性直到你完成一次长休，除非你消耗一个灵能骰来再次使用该特性。</t>
  </si>
  <si>
    <t>巨灵扩展法术列表</t>
  </si>
  <si>
    <t>午夜飞步</t>
  </si>
  <si>
    <t>巨灵器皿</t>
  </si>
  <si>
    <t>瓶中小憩</t>
  </si>
  <si>
    <t>以一个动作，你可以用魔法消失并进到你的器皿内，器皿将留在你所在的原地。
器皿内是与其本身相似的20尺半径，20尺高的圆柱形超维度空间。
器皿内部温度适宜，并安放有舒适的垫子和茶几。
在器皿之中时，你可以如同身在器皿所在之处一般听到外界的声音。
你在器皿内可停留的时间等同于你熟练加值双倍数目的小时。
如果你死亡，或是器皿被摧毁，抑或是使用一个附赠动作离开，你将提前从器皿中出来。
当你离开器皿时，你出现在距离它最近的不被占据的空间中。
在器皿内的一切物件将被留在其中直到被取出，而倘若器皿被摧毁，其中的物品则会完好无损地出现在距离它最近的不被占据的空间中。
一旦你进入器皿，直到你完成一次长休后你不能再度进入。</t>
  </si>
  <si>
    <t>暮光守护</t>
  </si>
  <si>
    <t>从17级起，暮光拥抱着你并提供保护，处于你暮光圣域的球体内的你和你的盟友处于半身掩护。</t>
  </si>
  <si>
    <t>巨灵之怒</t>
  </si>
  <si>
    <t>元素赐福</t>
  </si>
  <si>
    <t>从6级起，你逐渐显露出你的巨灵宗主的特质。
你对由你的宗主类型决定的一种伤害类型具有抗性：钝击（土巨灵），雷鸣（气巨灵），火焰（火巨灵），冷冻（水巨灵）。 
同时，以一个附赠动作，你可以获得一个持续10分钟的30尺飞行速度，并且在飞行时你可以悬浮。
你可以使用此附赠动作的次数等同于你的熟练加值，并在完成一次长休后恢复所有使用次数。</t>
  </si>
  <si>
    <t>器皿庇护所</t>
  </si>
  <si>
    <t>从10级起，当你使用瓶中小憩特性进入你的巨灵器皿时，你可以选择30尺内最多5个可见自愿生物与你一同进入器皿。
以一个附赠动作，你可以将任意数目的生物从器皿中逐出，且如果你离开器皿或是其被摧毁，所有生物都将被逐出。
同时，在器皿中停留至少10分钟的任何生物（包括你自己）可视为完成了一次短休，且使用生命骰恢复生命值时的恢复量可以加上你的熟练加值。</t>
  </si>
  <si>
    <t>有限许愿术</t>
  </si>
  <si>
    <t>从14级起，你祈求你的宗主，并实现你的小小愿望。
以一个动作，你可以向你的巨灵器皿说出你的愿望，并请求实现一个6环或更低环阶的，且施法时间为1动作的法术效应。
这一法术可以来自任何职业的法术列表，且你不需要满足法术材料需求，法术仅仅是作为此动作的一部分生效。
你使用此特性后，你直到完成1d4次长休后才能再次使用它。</t>
  </si>
  <si>
    <t>深海意志</t>
  </si>
  <si>
    <t>深海扩展法术列表</t>
  </si>
  <si>
    <t>深海触手</t>
  </si>
  <si>
    <t>海洋馈赠</t>
  </si>
  <si>
    <t>从1级起，你游泳速度为40尺，且可以在水下呼吸。</t>
  </si>
  <si>
    <t>海渊魂灵</t>
  </si>
  <si>
    <t>从6级起，深海对你来说如家一般熟悉，你获得对于寒冷伤害的抗性。
此外，当你被浸没时，任何完全被浸没的生物都能听懂你的语言，你也能听懂他们的。</t>
  </si>
  <si>
    <t>守卫缠绕</t>
  </si>
  <si>
    <t>擒握触手</t>
  </si>
  <si>
    <t>海渊传送</t>
  </si>
  <si>
    <t>从14级起，你可以魔法性地打开一个前往水域目的地的临时通道。
你可以使用一个标准动作传送自己和最多五个自愿、且在30尺可视范围内的生物。
在一团触须的漩涡中，你们全部消失，然后在至多1英里以内的你曾见过的水域（至少为池塘大小）或者它的30尺范围内。
你们当中的每一个人都出现在距离其他人30尺以内的一个空的空间内。
一旦你使用了这一特性，你不能再次使用它直到你完成一次短休或长休。</t>
  </si>
  <si>
    <t>Feats</t>
  </si>
  <si>
    <t>警觉</t>
  </si>
  <si>
    <t>运动员</t>
  </si>
  <si>
    <t>演员</t>
  </si>
  <si>
    <t>冲锋手</t>
  </si>
  <si>
    <t>强弩专家</t>
  </si>
  <si>
    <t>防御式决斗</t>
  </si>
  <si>
    <t>双持客</t>
  </si>
  <si>
    <t>地城探索者</t>
  </si>
  <si>
    <t>耐性</t>
  </si>
  <si>
    <t>元素导师</t>
  </si>
  <si>
    <t>擒抱者</t>
  </si>
  <si>
    <t>巨武器大师</t>
  </si>
  <si>
    <t>医疗师</t>
  </si>
  <si>
    <t>重甲运用</t>
  </si>
  <si>
    <t>重甲大师</t>
  </si>
  <si>
    <t>领袖之证</t>
  </si>
  <si>
    <t>敏锐心灵</t>
  </si>
  <si>
    <t>轻甲运用</t>
  </si>
  <si>
    <t>语言学家</t>
  </si>
  <si>
    <t>法师杀手</t>
  </si>
  <si>
    <t>魔法学徒</t>
  </si>
  <si>
    <t>战技专家</t>
  </si>
  <si>
    <t>中甲大师</t>
  </si>
  <si>
    <t>灵活移动</t>
  </si>
  <si>
    <t>中甲运用</t>
  </si>
  <si>
    <t>骑乘战斗</t>
  </si>
  <si>
    <t>观察力</t>
  </si>
  <si>
    <t>长柄武器大师</t>
  </si>
  <si>
    <t>强健身心</t>
  </si>
  <si>
    <t>仪式施法者</t>
  </si>
  <si>
    <t>凶蛮打手</t>
  </si>
  <si>
    <t>哨兵</t>
  </si>
  <si>
    <t>神射手</t>
  </si>
  <si>
    <t>盾牌大师</t>
  </si>
  <si>
    <t>隐伏者</t>
  </si>
  <si>
    <t>法术射手</t>
  </si>
  <si>
    <t>斗殴高手</t>
  </si>
  <si>
    <t>健壮</t>
  </si>
  <si>
    <t>战地施法者</t>
  </si>
  <si>
    <t>武器大师</t>
  </si>
  <si>
    <t>慷慨吉运</t>
  </si>
  <si>
    <t>高等卓尔魔法</t>
  </si>
  <si>
    <t>精灵之准</t>
  </si>
  <si>
    <t>弗莱格索斯之焰</t>
  </si>
  <si>
    <t>花开二度</t>
  </si>
  <si>
    <t>木精灵魔法</t>
  </si>
  <si>
    <t>大厨</t>
  </si>
  <si>
    <t>粉碎者</t>
  </si>
  <si>
    <t>魔能导师</t>
  </si>
  <si>
    <t>战斗学徒</t>
  </si>
  <si>
    <t>枪手</t>
  </si>
  <si>
    <t>超魔法导师</t>
  </si>
  <si>
    <t>穿刺者</t>
  </si>
  <si>
    <t>毒师</t>
  </si>
  <si>
    <t>影界触碰</t>
  </si>
  <si>
    <t>技艺专家</t>
  </si>
  <si>
    <t>劈砍者</t>
  </si>
  <si>
    <t>念动力</t>
  </si>
  <si>
    <t>心电感应</t>
  </si>
  <si>
    <t>护甲表</t>
  </si>
  <si>
    <t>护甲等级（AC）</t>
  </si>
  <si>
    <t>重量LB</t>
  </si>
  <si>
    <t>11＋敏捷调整值</t>
  </si>
  <si>
    <t>45gp</t>
  </si>
  <si>
    <t>12＋敏捷调整值</t>
  </si>
  <si>
    <t>中甲</t>
  </si>
  <si>
    <t>12＋敏捷调整值(最大2)</t>
  </si>
  <si>
    <t>13＋敏捷调整值(最大2)</t>
  </si>
  <si>
    <t>14＋敏捷调整值(最大2)</t>
  </si>
  <si>
    <t>箭arrows(20)</t>
  </si>
  <si>
    <t>400gp</t>
  </si>
  <si>
    <t>吹矢blowgunneedles(50)</t>
  </si>
  <si>
    <t>750gp</t>
  </si>
  <si>
    <t>15＋敏捷调整值(最大2)</t>
  </si>
  <si>
    <t>弩矢crossbowbolts(20)</t>
  </si>
  <si>
    <t>重甲</t>
  </si>
  <si>
    <t>投石索弹丸slingbullets(20)</t>
  </si>
  <si>
    <t>力量13</t>
  </si>
  <si>
    <t>200gp</t>
  </si>
  <si>
    <t>力量15</t>
  </si>
  <si>
    <t>1500gp</t>
  </si>
  <si>
    <t>弹药重量</t>
  </si>
  <si>
    <t>集束重量</t>
  </si>
  <si>
    <t>集束数量</t>
  </si>
  <si>
    <t>总重量→</t>
  </si>
  <si>
    <t>子弹</t>
  </si>
  <si>
    <t>背包 Inventory</t>
  </si>
  <si>
    <t>lb</t>
  </si>
  <si>
    <t>数量</t>
  </si>
  <si>
    <t>×</t>
  </si>
  <si>
    <t>背包3（次元袋）</t>
  </si>
  <si>
    <t>无效</t>
  </si>
  <si>
    <t>次元袋负重（实际）</t>
  </si>
  <si>
    <t>次元袋负重（收纳）</t>
  </si>
  <si>
    <t>邪术师</t>
  </si>
  <si>
    <t>神导术</t>
  </si>
  <si>
    <t>法师之手</t>
  </si>
  <si>
    <t>警报术</t>
  </si>
  <si>
    <t>英雄气概</t>
  </si>
  <si>
    <t>光亮术</t>
  </si>
  <si>
    <t>创造篝火</t>
  </si>
  <si>
    <t>剑刃爆发</t>
  </si>
  <si>
    <t>诱捕打击</t>
  </si>
  <si>
    <t>侦测魔法</t>
  </si>
  <si>
    <t>圣火术</t>
  </si>
  <si>
    <t>虫群孳生</t>
  </si>
  <si>
    <t>鸣雷破</t>
  </si>
  <si>
    <t>棘雹术</t>
  </si>
  <si>
    <t>疗伤术</t>
  </si>
  <si>
    <t>燃火术</t>
  </si>
  <si>
    <t>舞光术</t>
  </si>
  <si>
    <t>猎人印记</t>
  </si>
  <si>
    <t>强令对决</t>
  </si>
  <si>
    <t>亡者丧钟</t>
  </si>
  <si>
    <t>毒气喷溅</t>
  </si>
  <si>
    <t>西风打击</t>
  </si>
  <si>
    <t>神恩</t>
  </si>
  <si>
    <t>维生术</t>
  </si>
  <si>
    <t>炽焰斩</t>
  </si>
  <si>
    <t>提升抗性</t>
  </si>
  <si>
    <t>次级幻影</t>
  </si>
  <si>
    <t>雷鸣斩</t>
  </si>
  <si>
    <t>修复术</t>
  </si>
  <si>
    <t>魔能爆</t>
  </si>
  <si>
    <t>交友术</t>
  </si>
  <si>
    <t>大步奔行</t>
  </si>
  <si>
    <t>激愤斩</t>
  </si>
  <si>
    <t>火焰箭</t>
  </si>
  <si>
    <t>奇术</t>
  </si>
  <si>
    <t>霜噬</t>
  </si>
  <si>
    <t>恶言相加</t>
  </si>
  <si>
    <t>化兽为友</t>
  </si>
  <si>
    <t>典礼术</t>
  </si>
  <si>
    <t>冷冻射线</t>
  </si>
  <si>
    <t>轰雷剑</t>
  </si>
  <si>
    <t>剑刃防护</t>
  </si>
  <si>
    <t>动物交谈</t>
  </si>
  <si>
    <t>防护善恶</t>
  </si>
  <si>
    <t>电爪</t>
  </si>
  <si>
    <t>翠炎剑</t>
  </si>
  <si>
    <t>魔法伎俩</t>
  </si>
  <si>
    <t>侦测毒性和疾病</t>
  </si>
  <si>
    <t>祝福术</t>
  </si>
  <si>
    <t>治愈真言</t>
  </si>
  <si>
    <t>闪电牵引</t>
  </si>
  <si>
    <t>传讯术</t>
  </si>
  <si>
    <t>吸收元素</t>
  </si>
  <si>
    <t>命令术</t>
  </si>
  <si>
    <t>灾祸术</t>
  </si>
  <si>
    <t>魔法圈套</t>
  </si>
  <si>
    <t>侦测善恶</t>
  </si>
  <si>
    <t>魔石</t>
  </si>
  <si>
    <t>兽之联结</t>
  </si>
  <si>
    <t>虔诚护盾</t>
  </si>
  <si>
    <t>云雾术</t>
  </si>
  <si>
    <t>舞风</t>
  </si>
  <si>
    <t>迷幻手稿</t>
  </si>
  <si>
    <t>跳跃术</t>
  </si>
  <si>
    <t>净化食粮</t>
  </si>
  <si>
    <t>隐形仆役</t>
  </si>
  <si>
    <t>诚实之域</t>
  </si>
  <si>
    <t>塑土</t>
  </si>
  <si>
    <t>通晓语言</t>
  </si>
  <si>
    <t>物件定位术</t>
  </si>
  <si>
    <t>易容术</t>
  </si>
  <si>
    <t>神莓术</t>
  </si>
  <si>
    <t>次级复原术</t>
  </si>
  <si>
    <t>羽落术</t>
  </si>
  <si>
    <t>警戒之箭</t>
  </si>
  <si>
    <t>魔化武器</t>
  </si>
  <si>
    <t>无声幻影</t>
  </si>
  <si>
    <t>沉默术</t>
  </si>
  <si>
    <t>印记斩</t>
  </si>
  <si>
    <t>控火</t>
  </si>
  <si>
    <t>睡眠术</t>
  </si>
  <si>
    <t>召唤坐骑</t>
  </si>
  <si>
    <t>德鲁伊伎俩</t>
  </si>
  <si>
    <t>援助术</t>
  </si>
  <si>
    <t>致伤术</t>
  </si>
  <si>
    <t>原初蛮击</t>
  </si>
  <si>
    <t>艾嘉西斯之铠</t>
  </si>
  <si>
    <t>动物信使</t>
  </si>
  <si>
    <t>防护毒素</t>
  </si>
  <si>
    <t>庇护术</t>
  </si>
  <si>
    <t>橡棍术</t>
  </si>
  <si>
    <t>哈达之臂</t>
  </si>
  <si>
    <t>动植物定位术</t>
  </si>
  <si>
    <t>解除魔法</t>
  </si>
  <si>
    <t>荆棘之鞭</t>
  </si>
  <si>
    <t>炼狱叱喝</t>
  </si>
  <si>
    <t>寻找陷阱</t>
  </si>
  <si>
    <t>活力灵光</t>
  </si>
  <si>
    <t>脆弱诅咒</t>
  </si>
  <si>
    <t>致盲斩</t>
  </si>
  <si>
    <t>鉴定术</t>
  </si>
  <si>
    <t>治愈之魂</t>
  </si>
  <si>
    <t>十字军披风</t>
  </si>
  <si>
    <t>人类定身术</t>
  </si>
  <si>
    <t>巫术箭</t>
  </si>
  <si>
    <t>塔莎狂笑术</t>
  </si>
  <si>
    <t>元素武器</t>
  </si>
  <si>
    <t>强化属性</t>
  </si>
  <si>
    <t>树肤术</t>
  </si>
  <si>
    <t>防护法阵</t>
  </si>
  <si>
    <t>野兽知觉</t>
  </si>
  <si>
    <t>移除诅咒</t>
  </si>
  <si>
    <t>行动无踪</t>
  </si>
  <si>
    <t>造粮术</t>
  </si>
  <si>
    <t>安定心神</t>
  </si>
  <si>
    <t>魅惑人类</t>
  </si>
  <si>
    <t>荆棘丛生</t>
  </si>
  <si>
    <t>回生术</t>
  </si>
  <si>
    <t>雷鸣波</t>
  </si>
  <si>
    <t>召唤箭雨</t>
  </si>
  <si>
    <t>昼明术</t>
  </si>
  <si>
    <t>不灭明焰</t>
  </si>
  <si>
    <t>造成恐惧</t>
  </si>
  <si>
    <t>妖火</t>
  </si>
  <si>
    <t>闪电箭</t>
  </si>
  <si>
    <t>生物定位术</t>
  </si>
  <si>
    <t>遗体防腐</t>
  </si>
  <si>
    <t>阿迦纳萨喷火术</t>
  </si>
  <si>
    <t>衰弱射线</t>
  </si>
  <si>
    <t>不谐低语</t>
  </si>
  <si>
    <t>回避侦测</t>
  </si>
  <si>
    <t>心灵尖刺</t>
  </si>
  <si>
    <t>植物滋长</t>
  </si>
  <si>
    <t>净化灵光</t>
  </si>
  <si>
    <t>弹射</t>
  </si>
  <si>
    <t>幽影刃</t>
  </si>
  <si>
    <t>烟火</t>
  </si>
  <si>
    <t>植物交谈</t>
  </si>
  <si>
    <t>卜筮术</t>
  </si>
  <si>
    <t>黑暗术</t>
  </si>
  <si>
    <t>守护之风</t>
  </si>
  <si>
    <t>防护能量伤害</t>
  </si>
  <si>
    <t>惊惧斩</t>
  </si>
  <si>
    <t>治疗祷言</t>
  </si>
  <si>
    <t>镜影术</t>
  </si>
  <si>
    <t>水面行走</t>
  </si>
  <si>
    <t>放逐术</t>
  </si>
  <si>
    <t>灵体武器</t>
  </si>
  <si>
    <t>迷踪步</t>
  </si>
  <si>
    <t>防死结界</t>
  </si>
  <si>
    <t>守护之链</t>
  </si>
  <si>
    <t>燃烧之手</t>
  </si>
  <si>
    <t>蛛行术</t>
  </si>
  <si>
    <t>注目术</t>
  </si>
  <si>
    <t>火箭</t>
  </si>
  <si>
    <t>死者复活</t>
  </si>
  <si>
    <t>巧言术</t>
  </si>
  <si>
    <t>繁彩球</t>
  </si>
  <si>
    <t>匕首之云</t>
  </si>
  <si>
    <t>指使术</t>
  </si>
  <si>
    <t>鹰眼术</t>
  </si>
  <si>
    <t>七彩喷射</t>
  </si>
  <si>
    <t>冰刃</t>
  </si>
  <si>
    <t>疯狂冠冕</t>
  </si>
  <si>
    <t>召唤动物</t>
  </si>
  <si>
    <t>放逐斩</t>
  </si>
  <si>
    <t>降咒</t>
  </si>
  <si>
    <t>虚假生命</t>
  </si>
  <si>
    <t>隐形术</t>
  </si>
  <si>
    <t>风墙术</t>
  </si>
  <si>
    <t>原力法阵</t>
  </si>
  <si>
    <t>守卫刻文</t>
  </si>
  <si>
    <t>法师护甲</t>
  </si>
  <si>
    <t>粉碎音波</t>
  </si>
  <si>
    <t>湮灭波</t>
  </si>
  <si>
    <t>短讯术</t>
  </si>
  <si>
    <t>魔法飞弹</t>
  </si>
  <si>
    <t>暗示术</t>
  </si>
  <si>
    <t>行动自如</t>
  </si>
  <si>
    <t>神圣武器</t>
  </si>
  <si>
    <t>致病射线</t>
  </si>
  <si>
    <t>侦测思想</t>
  </si>
  <si>
    <t>反制善恶</t>
  </si>
  <si>
    <t>假死术</t>
  </si>
  <si>
    <t>护盾术</t>
  </si>
  <si>
    <t>敲击术</t>
  </si>
  <si>
    <t>自然守卫</t>
  </si>
  <si>
    <t>死者交谈</t>
  </si>
  <si>
    <t>混乱箭</t>
  </si>
  <si>
    <t>纠缠术</t>
  </si>
  <si>
    <t>地缚</t>
  </si>
  <si>
    <t>魅影之力</t>
  </si>
  <si>
    <t>石肤术</t>
  </si>
  <si>
    <t>生命转换</t>
  </si>
  <si>
    <t>识破隐形</t>
  </si>
  <si>
    <t>召唤林地之精</t>
  </si>
  <si>
    <t>吸血鬼之触</t>
  </si>
  <si>
    <t>擒抱藤</t>
  </si>
  <si>
    <t>哈达之欲</t>
  </si>
  <si>
    <t>钢风斩</t>
  </si>
  <si>
    <t>雷霆步</t>
  </si>
  <si>
    <t>万箭齐发</t>
  </si>
  <si>
    <t>法术反制</t>
  </si>
  <si>
    <t>迅捷箭袋</t>
  </si>
  <si>
    <t>操纵死尸</t>
  </si>
  <si>
    <t>飞行术</t>
  </si>
  <si>
    <t>自然之怒</t>
  </si>
  <si>
    <t>气化形体</t>
  </si>
  <si>
    <t>问道自然</t>
  </si>
  <si>
    <t>敌群环绕</t>
  </si>
  <si>
    <t>树跃术</t>
  </si>
  <si>
    <t>恐惧术</t>
  </si>
  <si>
    <t>融身入石</t>
  </si>
  <si>
    <t>催眠图纹</t>
  </si>
  <si>
    <t>魔嘴术</t>
  </si>
  <si>
    <t>希望信标</t>
  </si>
  <si>
    <t>灼热金属</t>
  </si>
  <si>
    <t>高等幻影</t>
  </si>
  <si>
    <t>群体治愈真言</t>
  </si>
  <si>
    <t>灵体卫士</t>
  </si>
  <si>
    <t>召唤次级恶魔</t>
  </si>
  <si>
    <t>假寐术</t>
  </si>
  <si>
    <t>莫伊之影</t>
  </si>
  <si>
    <t>操控水体</t>
  </si>
  <si>
    <t>龙息术</t>
  </si>
  <si>
    <t>尘土恶魔</t>
  </si>
  <si>
    <t>致病辐射</t>
  </si>
  <si>
    <t>塑石术</t>
  </si>
  <si>
    <t>魅惑怪物</t>
  </si>
  <si>
    <t>预言术</t>
  </si>
  <si>
    <t>麦克斯米利安的地之攫</t>
  </si>
  <si>
    <t>任意门</t>
  </si>
  <si>
    <t>油腻术</t>
  </si>
  <si>
    <t>信仰守卫</t>
  </si>
  <si>
    <t>灼热射线</t>
  </si>
  <si>
    <t>幻景</t>
  </si>
  <si>
    <t>臭云术</t>
  </si>
  <si>
    <t>谭森浮碟术</t>
  </si>
  <si>
    <t>通晓传奇</t>
  </si>
  <si>
    <t>史尼洛雪球群</t>
  </si>
  <si>
    <t>召唤高等恶魔</t>
  </si>
  <si>
    <t>探知</t>
  </si>
  <si>
    <t>造风术</t>
  </si>
  <si>
    <t>火焰刀</t>
  </si>
  <si>
    <t>异界誓缚</t>
  </si>
  <si>
    <t>月华之光</t>
  </si>
  <si>
    <t>枯萎术</t>
  </si>
  <si>
    <t>高等复原术</t>
  </si>
  <si>
    <t>异界探知</t>
  </si>
  <si>
    <t>群体疗伤术</t>
  </si>
  <si>
    <t>变身术</t>
  </si>
  <si>
    <t>汲能术</t>
  </si>
  <si>
    <t>朦胧术</t>
  </si>
  <si>
    <t>渺远步</t>
  </si>
  <si>
    <t>拂晓</t>
  </si>
  <si>
    <t>李欧蒙小屋</t>
  </si>
  <si>
    <t>浮空术</t>
  </si>
  <si>
    <t>突触静止</t>
  </si>
  <si>
    <t>疫病虫群</t>
  </si>
  <si>
    <t>蛛网术</t>
  </si>
  <si>
    <t>托梦术</t>
  </si>
  <si>
    <t>疫病术</t>
  </si>
  <si>
    <t>怪物定身术</t>
  </si>
  <si>
    <t>通神术</t>
  </si>
  <si>
    <t>焰击术</t>
  </si>
  <si>
    <t>骷髅之舞</t>
  </si>
  <si>
    <t>高等隐形术</t>
  </si>
  <si>
    <t>圣居</t>
  </si>
  <si>
    <t>地狱呼唤</t>
  </si>
  <si>
    <t>真知术</t>
  </si>
  <si>
    <t>土石喷发</t>
  </si>
  <si>
    <t>负能量洪流</t>
  </si>
  <si>
    <t>寻路术</t>
  </si>
  <si>
    <t>唤起死灵</t>
  </si>
  <si>
    <t>潮涌</t>
  </si>
  <si>
    <t>石化术</t>
  </si>
  <si>
    <t>困惑术</t>
  </si>
  <si>
    <t>医疗术</t>
  </si>
  <si>
    <t>精神监狱</t>
  </si>
  <si>
    <t>变形术</t>
  </si>
  <si>
    <t>英雄宴</t>
  </si>
  <si>
    <t>散射术</t>
  </si>
  <si>
    <t>强迫术</t>
  </si>
  <si>
    <t>剑刃护壁</t>
  </si>
  <si>
    <t>秘法门</t>
  </si>
  <si>
    <t>禁制术</t>
  </si>
  <si>
    <t>死亡法阵</t>
  </si>
  <si>
    <t>授予技能</t>
  </si>
  <si>
    <t>重伤术</t>
  </si>
  <si>
    <t>摄心目光</t>
  </si>
  <si>
    <t>异界誓盟</t>
  </si>
  <si>
    <t>雪雨暴</t>
  </si>
  <si>
    <t>群体暗示术</t>
  </si>
  <si>
    <t>回返真言</t>
  </si>
  <si>
    <t>召雷术</t>
  </si>
  <si>
    <t>活化物件</t>
  </si>
  <si>
    <t>支配人类</t>
  </si>
  <si>
    <t>灵魂牢笼</t>
  </si>
  <si>
    <t>伪装术</t>
  </si>
  <si>
    <t>再生术</t>
  </si>
  <si>
    <t>炽焰赋权</t>
  </si>
  <si>
    <t>传送法阵</t>
  </si>
  <si>
    <t>复生术</t>
  </si>
  <si>
    <t>异界传送</t>
  </si>
  <si>
    <t>寒冰赋权</t>
  </si>
  <si>
    <t>火焰风暴</t>
  </si>
  <si>
    <t>召唤天界生物</t>
  </si>
  <si>
    <t>磐石赋权</t>
  </si>
  <si>
    <t>圣言术</t>
  </si>
  <si>
    <t>神庙术</t>
  </si>
  <si>
    <t>清风赋权</t>
  </si>
  <si>
    <t>反魔法力场</t>
  </si>
  <si>
    <t>马友夫微流星</t>
  </si>
  <si>
    <t>召唤精类生物</t>
  </si>
  <si>
    <t>地震术</t>
  </si>
  <si>
    <t>众星冠冕</t>
  </si>
  <si>
    <t>假象术</t>
  </si>
  <si>
    <t>操控天气</t>
  </si>
  <si>
    <t>碧水球</t>
  </si>
  <si>
    <t>律令痛苦</t>
  </si>
  <si>
    <t>篡改记忆</t>
  </si>
  <si>
    <t>圣洁灵光</t>
  </si>
  <si>
    <t>死亡一指</t>
  </si>
  <si>
    <t>启蒙术</t>
  </si>
  <si>
    <t>星界投影</t>
  </si>
  <si>
    <t>魔力监牢</t>
  </si>
  <si>
    <t>异界之门</t>
  </si>
  <si>
    <t>闪现术</t>
  </si>
  <si>
    <t>完全复生术</t>
  </si>
  <si>
    <t>火球术</t>
  </si>
  <si>
    <t>群体医疗术</t>
  </si>
  <si>
    <t>加速术</t>
  </si>
  <si>
    <t>创造半位面</t>
  </si>
  <si>
    <t>闪电束</t>
  </si>
  <si>
    <t>花言巧语</t>
  </si>
  <si>
    <t>铜墙铁壁</t>
  </si>
  <si>
    <t>缓慢术</t>
  </si>
  <si>
    <t>冰风暴</t>
  </si>
  <si>
    <t>支配怪物</t>
  </si>
  <si>
    <t>奥图迷舞</t>
  </si>
  <si>
    <t>火墙术</t>
  </si>
  <si>
    <t>律令震慑</t>
  </si>
  <si>
    <t>预置幻影</t>
  </si>
  <si>
    <t>支配野兽</t>
  </si>
  <si>
    <t>弱智术</t>
  </si>
  <si>
    <t>秘法锁</t>
  </si>
  <si>
    <t>召唤次级元素生物</t>
  </si>
  <si>
    <t>疯狂之暗</t>
  </si>
  <si>
    <t>传送术</t>
  </si>
  <si>
    <t>炽焰法球</t>
  </si>
  <si>
    <t>巨虫术</t>
  </si>
  <si>
    <t>禁锢术</t>
  </si>
  <si>
    <t>马友夫强酸箭</t>
  </si>
  <si>
    <t>心灵尖啸</t>
  </si>
  <si>
    <t>涅斯图魔法灵光</t>
  </si>
  <si>
    <t>完全变形术</t>
  </si>
  <si>
    <t>魔绳术</t>
  </si>
  <si>
    <t>律令死亡</t>
  </si>
  <si>
    <t>预警术</t>
  </si>
  <si>
    <t>投影术</t>
  </si>
  <si>
    <t>海市蜃楼</t>
  </si>
  <si>
    <t>心灵屏障</t>
  </si>
  <si>
    <t>群体变形术</t>
  </si>
  <si>
    <t>转化岩石</t>
  </si>
  <si>
    <t>大漩涡</t>
  </si>
  <si>
    <t>律令医疗</t>
  </si>
  <si>
    <t>石墙术</t>
  </si>
  <si>
    <t>召唤元素生物</t>
  </si>
  <si>
    <t>暴风球</t>
  </si>
  <si>
    <t>防活物护罩</t>
  </si>
  <si>
    <t>转生术</t>
  </si>
  <si>
    <t>浓酸球</t>
  </si>
  <si>
    <t>地之骨</t>
  </si>
  <si>
    <t>德鲁伊林地</t>
  </si>
  <si>
    <t>原初守护</t>
  </si>
  <si>
    <t>地动术</t>
  </si>
  <si>
    <t>阳炎射线</t>
  </si>
  <si>
    <t>造物术</t>
  </si>
  <si>
    <t>木遁术</t>
  </si>
  <si>
    <t>焚烧</t>
  </si>
  <si>
    <t>棘墙术</t>
  </si>
  <si>
    <t>魅影驹</t>
  </si>
  <si>
    <t>死云术</t>
  </si>
  <si>
    <t>御风而行</t>
  </si>
  <si>
    <t>迷你仆役</t>
  </si>
  <si>
    <t>寒冰锥</t>
  </si>
  <si>
    <t>心灵遥控</t>
  </si>
  <si>
    <t>旋风</t>
  </si>
  <si>
    <t>反重力</t>
  </si>
  <si>
    <t>海啸术</t>
  </si>
  <si>
    <t>动物形态</t>
  </si>
  <si>
    <t>形体变化</t>
  </si>
  <si>
    <t>复仇风暴</t>
  </si>
  <si>
    <t>连锁闪电</t>
  </si>
  <si>
    <t>解离术</t>
  </si>
  <si>
    <t>法术无效结界</t>
  </si>
  <si>
    <t>秘法眼</t>
  </si>
  <si>
    <t>艾伐黑触手</t>
  </si>
  <si>
    <t>鬼斧神工</t>
  </si>
  <si>
    <t>火焰护盾</t>
  </si>
  <si>
    <t>李欧蒙秘藏箱</t>
  </si>
  <si>
    <t>欧提路克弹力法球</t>
  </si>
  <si>
    <t>延迟爆裂火球</t>
  </si>
  <si>
    <t>魅影杀手</t>
  </si>
  <si>
    <t>虹光喷射</t>
  </si>
  <si>
    <t>焚云术</t>
  </si>
  <si>
    <t>流星爆</t>
  </si>
  <si>
    <t>时间停止</t>
  </si>
  <si>
    <t>祈愿术</t>
  </si>
  <si>
    <t>毕格比之手</t>
  </si>
  <si>
    <t>穿墙术</t>
  </si>
  <si>
    <t>拉瑞心灵联结</t>
  </si>
  <si>
    <t>力场墙</t>
  </si>
  <si>
    <t>触发术</t>
  </si>
  <si>
    <t>卓姆吉瞬间召唤</t>
  </si>
  <si>
    <t>魔魂壶</t>
  </si>
  <si>
    <t>欧提路克冰封法球</t>
  </si>
  <si>
    <t>谭森变形术</t>
  </si>
  <si>
    <t>冰墙术</t>
  </si>
  <si>
    <t>隔离术</t>
  </si>
  <si>
    <t>拟像术</t>
  </si>
  <si>
    <t>克隆术</t>
  </si>
  <si>
    <t>幻影巨龙</t>
  </si>
  <si>
    <t>迷宫术</t>
  </si>
  <si>
    <t>坚固堡垒</t>
  </si>
  <si>
    <t>心灵感应</t>
  </si>
  <si>
    <t>无敌术</t>
  </si>
  <si>
    <t>虹光法墙</t>
  </si>
  <si>
    <t>怪影杀手</t>
  </si>
  <si>
    <t>额外法术 Additional Spell</t>
  </si>
  <si>
    <t>环阶</t>
  </si>
  <si>
    <t>施法时间</t>
  </si>
  <si>
    <t>材料</t>
  </si>
  <si>
    <t>效果描述</t>
  </si>
  <si>
    <t>专注</t>
  </si>
  <si>
    <t>变化</t>
  </si>
  <si>
    <t>1附赠动作</t>
  </si>
  <si>
    <t>100尺</t>
  </si>
  <si>
    <t>10分钟</t>
  </si>
  <si>
    <t>塑能</t>
  </si>
  <si>
    <t>1动作</t>
  </si>
  <si>
    <t>10尺</t>
  </si>
  <si>
    <t>10日</t>
  </si>
  <si>
    <t>防护</t>
  </si>
  <si>
    <t>1小时</t>
  </si>
  <si>
    <t>120尺</t>
  </si>
  <si>
    <t>10天</t>
  </si>
  <si>
    <t>死灵</t>
  </si>
  <si>
    <t>1分钟</t>
  </si>
  <si>
    <t>150尺</t>
  </si>
  <si>
    <t>预言</t>
  </si>
  <si>
    <t>15尺</t>
  </si>
  <si>
    <t>1轮</t>
  </si>
  <si>
    <t>咒法</t>
  </si>
  <si>
    <t>8小时</t>
  </si>
  <si>
    <t>1里</t>
  </si>
  <si>
    <t>1日</t>
  </si>
  <si>
    <t>附魔</t>
  </si>
  <si>
    <t>24小时</t>
  </si>
  <si>
    <t>300尺</t>
  </si>
  <si>
    <t>幻术</t>
  </si>
  <si>
    <t>12小时</t>
  </si>
  <si>
    <t>30尺</t>
  </si>
  <si>
    <t>幻术(仪式)</t>
  </si>
  <si>
    <t>500尺</t>
  </si>
  <si>
    <t>咒法(仪式)</t>
  </si>
  <si>
    <t>30日</t>
  </si>
  <si>
    <t>预言(仪式)</t>
  </si>
  <si>
    <t>5尺</t>
  </si>
  <si>
    <t>7日</t>
  </si>
  <si>
    <t>变化(仪式)</t>
  </si>
  <si>
    <t>60尺</t>
  </si>
  <si>
    <t>附魔(仪式)</t>
  </si>
  <si>
    <t>90尺</t>
  </si>
  <si>
    <t>死灵(仪式)</t>
  </si>
  <si>
    <t>立即</t>
  </si>
  <si>
    <t>塑能(仪式)</t>
  </si>
  <si>
    <t>触及</t>
  </si>
  <si>
    <t>防护(仪式)</t>
  </si>
  <si>
    <t>立即或1小时</t>
  </si>
  <si>
    <t>视野内</t>
  </si>
  <si>
    <t>特殊</t>
  </si>
  <si>
    <t>直到被解除</t>
  </si>
  <si>
    <t>无限</t>
  </si>
  <si>
    <t>直至被解除或被触发</t>
  </si>
  <si>
    <t>自身</t>
  </si>
  <si>
    <t>直至被驱散</t>
  </si>
  <si>
    <t>自身(100尺线状)</t>
  </si>
  <si>
    <t>至多1分钟</t>
  </si>
  <si>
    <t>自身(10尺半径)</t>
  </si>
  <si>
    <t>至多1小时</t>
  </si>
  <si>
    <t>自身(10尺半径半球状)</t>
  </si>
  <si>
    <t>专注，至多10分钟</t>
  </si>
  <si>
    <t>自身(10尺半径球状)</t>
  </si>
  <si>
    <t>专注，至多1分钟</t>
  </si>
  <si>
    <t>自身(15尺立方)</t>
  </si>
  <si>
    <t>自身(15尺锥状)</t>
  </si>
  <si>
    <t>专注，至多1轮</t>
  </si>
  <si>
    <t>自身(30尺半径)</t>
  </si>
  <si>
    <t>自身(30尺锥状)</t>
  </si>
  <si>
    <t>专注，至多1小时</t>
  </si>
  <si>
    <t>自身(5尺半径)</t>
  </si>
  <si>
    <t>自身(60尺线状)</t>
  </si>
  <si>
    <t>自身(60尺锥状)</t>
  </si>
  <si>
    <t>最长8小时</t>
  </si>
  <si>
    <t>Detect Thoughts</t>
  </si>
  <si>
    <t>这张卡不禁止二次修改</t>
  </si>
  <si>
    <t>Zephyr Strike</t>
  </si>
  <si>
    <t>V</t>
  </si>
  <si>
    <t>Catapult</t>
  </si>
  <si>
    <t>S</t>
  </si>
  <si>
    <t/>
  </si>
  <si>
    <t>Chaos Bolt</t>
  </si>
  <si>
    <t>Earth Tremor</t>
  </si>
  <si>
    <t>Ceremony</t>
  </si>
  <si>
    <t>Absorb Elements</t>
  </si>
  <si>
    <t>Cause Fear</t>
  </si>
  <si>
    <t>Snare</t>
  </si>
  <si>
    <t>Beast Bond</t>
  </si>
  <si>
    <t>Ice Knife</t>
  </si>
  <si>
    <t>Alarm</t>
  </si>
  <si>
    <t>Ensnaring Strike</t>
  </si>
  <si>
    <t>Hail of Thorns</t>
  </si>
  <si>
    <t>Armor of Agathys</t>
  </si>
  <si>
    <t>Arms of Hadar</t>
  </si>
  <si>
    <t>Hellish Rebuke</t>
  </si>
  <si>
    <t>Hex</t>
  </si>
  <si>
    <t>Expeditious Retreat</t>
  </si>
  <si>
    <t>Witch Bolt</t>
  </si>
  <si>
    <t>Chromatic Orb</t>
  </si>
  <si>
    <t>Color Spray</t>
  </si>
  <si>
    <t>False Life</t>
  </si>
  <si>
    <t>Mage Armor</t>
  </si>
  <si>
    <t>Magic Missile</t>
  </si>
  <si>
    <t>Ray of Sickness</t>
  </si>
  <si>
    <t>Shield</t>
  </si>
  <si>
    <t>Illusory Script</t>
  </si>
  <si>
    <t>Unseen Servant</t>
  </si>
  <si>
    <t>Disguise Self</t>
  </si>
  <si>
    <t>Feather Fall</t>
  </si>
  <si>
    <t>Silent Image</t>
  </si>
  <si>
    <t>Sleep</t>
  </si>
  <si>
    <t>Heroism</t>
  </si>
  <si>
    <t>Detect Magic</t>
  </si>
  <si>
    <t>Cure Wounds</t>
  </si>
  <si>
    <t>Healing Word</t>
  </si>
  <si>
    <t>Bane</t>
  </si>
  <si>
    <t>Longstrider</t>
  </si>
  <si>
    <t>Animal Friendship</t>
  </si>
  <si>
    <t>Speak with Animals</t>
  </si>
  <si>
    <t>Charm Person</t>
  </si>
  <si>
    <t>Thunderwave</t>
  </si>
  <si>
    <t>Faerie Fire</t>
  </si>
  <si>
    <t>Dissonant Whispers</t>
  </si>
  <si>
    <t>Compelled Duel</t>
  </si>
  <si>
    <t>Divine Favor</t>
  </si>
  <si>
    <t>Searing Smite</t>
  </si>
  <si>
    <t>Thunderous Smite</t>
  </si>
  <si>
    <t>Wrathful Smite</t>
  </si>
  <si>
    <t>Protection from Evil and Good</t>
  </si>
  <si>
    <t>Bless</t>
  </si>
  <si>
    <t>Command</t>
  </si>
  <si>
    <t>Detect Evil and Good</t>
  </si>
  <si>
    <t>Shield of Faith</t>
  </si>
  <si>
    <t>Detect Poison and Disease</t>
  </si>
  <si>
    <t>Purify Food and Drink</t>
  </si>
  <si>
    <t>Create or Destroy Water</t>
  </si>
  <si>
    <t>Guiding Bolt</t>
  </si>
  <si>
    <t>Inflict Wounds</t>
  </si>
  <si>
    <t>Find Familiar</t>
  </si>
  <si>
    <t>Grease</t>
  </si>
  <si>
    <t>Fog Cloud</t>
  </si>
  <si>
    <t>Jump</t>
  </si>
  <si>
    <t>Goodberry</t>
  </si>
  <si>
    <t>Entangle</t>
  </si>
  <si>
    <t>Mind Spike</t>
  </si>
  <si>
    <t>Shadow Blade</t>
  </si>
  <si>
    <t>Dragon's Breath</t>
  </si>
  <si>
    <t>Pyrotechnics</t>
  </si>
  <si>
    <t>Warding Wind</t>
  </si>
  <si>
    <t>Skywrite</t>
  </si>
  <si>
    <t>Healing Spirit</t>
  </si>
  <si>
    <t>Earthbind</t>
  </si>
  <si>
    <t>Dust Devil</t>
  </si>
  <si>
    <t>Cordon of Arrows</t>
  </si>
  <si>
    <t>Ray of Enfeeblement</t>
  </si>
  <si>
    <t>Scorching Ray</t>
  </si>
  <si>
    <t>Darkness</t>
  </si>
  <si>
    <t>Mirror Image</t>
  </si>
  <si>
    <t>Misty Step</t>
  </si>
  <si>
    <t>Spider Climb</t>
  </si>
  <si>
    <t>Alter Self</t>
  </si>
  <si>
    <t>Blur</t>
  </si>
  <si>
    <t>Enlarge/Reduce</t>
  </si>
  <si>
    <t>Levitate</t>
  </si>
  <si>
    <t>Web</t>
  </si>
  <si>
    <t>Enthrall</t>
  </si>
  <si>
    <t>Cloud of Daggers</t>
  </si>
  <si>
    <t>Crown of Madness</t>
  </si>
  <si>
    <t>Invisibility</t>
  </si>
  <si>
    <t>Shatter</t>
  </si>
  <si>
    <t>Suggestion</t>
  </si>
  <si>
    <t>Knock</t>
  </si>
  <si>
    <t>Phantasmal Force</t>
  </si>
  <si>
    <t>See Invisibility</t>
  </si>
  <si>
    <t>Silence</t>
  </si>
  <si>
    <t>Blindness/Deafness</t>
  </si>
  <si>
    <t>Zone of Truth</t>
  </si>
  <si>
    <t>Hold Person</t>
  </si>
  <si>
    <t>Enhance Ability</t>
  </si>
  <si>
    <t>Locate Object</t>
  </si>
  <si>
    <t>Lesser Restoration</t>
  </si>
  <si>
    <t>Calm Emotions</t>
  </si>
  <si>
    <t>Magic Mouth</t>
  </si>
  <si>
    <t>Animal Messenger</t>
  </si>
  <si>
    <t>Locate Animals or Plants</t>
  </si>
  <si>
    <t>Heat Metal</t>
  </si>
  <si>
    <t>Magic Weapon</t>
  </si>
  <si>
    <t>Branding Smite</t>
  </si>
  <si>
    <t>Find Steed</t>
  </si>
  <si>
    <t>Aid</t>
  </si>
  <si>
    <t>Continual Flame</t>
  </si>
  <si>
    <t>直至被解除</t>
  </si>
  <si>
    <t>Gentle Repose</t>
  </si>
  <si>
    <t>Find Traps</t>
  </si>
  <si>
    <t>Protection from Poison</t>
  </si>
  <si>
    <t>Augury</t>
  </si>
  <si>
    <t>Prayer of Healing</t>
  </si>
  <si>
    <t>Spiritual Weapon</t>
  </si>
  <si>
    <t>Warding Bond</t>
  </si>
  <si>
    <t>Arcane Lock</t>
  </si>
  <si>
    <t>Flaming Sphere</t>
  </si>
  <si>
    <t>Rope Trick</t>
  </si>
  <si>
    <t>Darkvision</t>
  </si>
  <si>
    <t>Barkskin</t>
  </si>
  <si>
    <t>Beast Sense</t>
  </si>
  <si>
    <t>Pass without Trace</t>
  </si>
  <si>
    <t>Spike Growth</t>
  </si>
  <si>
    <t>Gust of Wind</t>
  </si>
  <si>
    <t>Flame Blade</t>
  </si>
  <si>
    <t>Moonbeam</t>
  </si>
  <si>
    <t>Thunder Step</t>
  </si>
  <si>
    <t>Enemies Abound</t>
  </si>
  <si>
    <t>Catnap</t>
  </si>
  <si>
    <t>Life Transference</t>
  </si>
  <si>
    <t>Summon Lesser Demon</t>
  </si>
  <si>
    <t>Tiny Servant</t>
  </si>
  <si>
    <t>Wall of Sand</t>
  </si>
  <si>
    <t>Flame Arrows</t>
  </si>
  <si>
    <t>Erupting Earth</t>
  </si>
  <si>
    <t>Tidal Wave</t>
  </si>
  <si>
    <t>Wall of Water</t>
  </si>
  <si>
    <t>Conjure Barrage</t>
  </si>
  <si>
    <t>Lightning Arrow</t>
  </si>
  <si>
    <t>Vampiric Touch</t>
  </si>
  <si>
    <t>Hunger of Hadar</t>
  </si>
  <si>
    <t>Counterspell</t>
  </si>
  <si>
    <t>Fly</t>
  </si>
  <si>
    <t>Gaseous Form</t>
  </si>
  <si>
    <t>Blink</t>
  </si>
  <si>
    <t>Fireball</t>
  </si>
  <si>
    <t>Haste</t>
  </si>
  <si>
    <t>Lightning Bolt</t>
  </si>
  <si>
    <t>Slow</t>
  </si>
  <si>
    <t>Nondetection</t>
  </si>
  <si>
    <t>Fear</t>
  </si>
  <si>
    <t>Hypnotic Pattern</t>
  </si>
  <si>
    <t>Major Image</t>
  </si>
  <si>
    <t>Stinking Cloud</t>
  </si>
  <si>
    <t>Tongues</t>
  </si>
  <si>
    <t>Clairvoyance</t>
  </si>
  <si>
    <t>Bestow Curse</t>
  </si>
  <si>
    <t>Glyph of Warding</t>
  </si>
  <si>
    <t>Sending</t>
  </si>
  <si>
    <t>Dispel Magic</t>
  </si>
  <si>
    <t>Feign Death</t>
  </si>
  <si>
    <t>Speak with Dead</t>
  </si>
  <si>
    <t>Plant Growth</t>
  </si>
  <si>
    <t>Speak with Plants</t>
  </si>
  <si>
    <t>Aura of Vitality</t>
  </si>
  <si>
    <t>Blinding Smite</t>
  </si>
  <si>
    <t>Elemental Weapon</t>
  </si>
  <si>
    <t>Magic Circle</t>
  </si>
  <si>
    <t>Remove Curse</t>
  </si>
  <si>
    <t>Create Food and Water</t>
  </si>
  <si>
    <t>Revivify</t>
  </si>
  <si>
    <t>Animate Dead</t>
  </si>
  <si>
    <t>Protection from Energy</t>
  </si>
  <si>
    <t>Water Walk</t>
  </si>
  <si>
    <t>Daylight</t>
  </si>
  <si>
    <t>Meld into Stone</t>
  </si>
  <si>
    <t>Beacon of Hope</t>
  </si>
  <si>
    <t>Mass Healing Word</t>
  </si>
  <si>
    <t>Spirit Guardians</t>
  </si>
  <si>
    <t>Phantom Steed</t>
  </si>
  <si>
    <t>Water Breathing</t>
  </si>
  <si>
    <t>Conjure Animals</t>
  </si>
  <si>
    <t>Wind Wall</t>
  </si>
  <si>
    <t>Sleet Storm</t>
  </si>
  <si>
    <t>Shadow of Moil</t>
  </si>
  <si>
    <t>Sickening Radiance</t>
  </si>
  <si>
    <t>Storm Sphere</t>
  </si>
  <si>
    <t>Vitriolic Sphere</t>
  </si>
  <si>
    <t>Charm Monster</t>
  </si>
  <si>
    <t>Find Greater Steed</t>
  </si>
  <si>
    <t>Summon Greater Demon</t>
  </si>
  <si>
    <t>Guardian of Nature</t>
  </si>
  <si>
    <t>Watery Sphere</t>
  </si>
  <si>
    <t>Elemental Bane</t>
  </si>
  <si>
    <t>Dimension Door</t>
  </si>
  <si>
    <t>Great Invisibility</t>
  </si>
  <si>
    <t>Freedom of Movement</t>
  </si>
  <si>
    <t>Locate Creature</t>
  </si>
  <si>
    <t>Hallucinatory Terrain</t>
  </si>
  <si>
    <t>Confusion</t>
  </si>
  <si>
    <t>Polymorph</t>
  </si>
  <si>
    <t>Compulsion</t>
  </si>
  <si>
    <t>Aura of Life</t>
  </si>
  <si>
    <t>Staggering Smite</t>
  </si>
  <si>
    <t>Banishment</t>
  </si>
  <si>
    <t>Death Ward</t>
  </si>
  <si>
    <t>Control Water</t>
  </si>
  <si>
    <t>Stone Shape</t>
  </si>
  <si>
    <t>Divination</t>
  </si>
  <si>
    <t>Guardian of Faith</t>
  </si>
  <si>
    <t>Arcane Eye</t>
  </si>
  <si>
    <t>Fabricate</t>
  </si>
  <si>
    <t>Fire Shield</t>
  </si>
  <si>
    <t>Phantasmal Killer</t>
  </si>
  <si>
    <t>Stoneskin</t>
  </si>
  <si>
    <t>Conjure Woodland Beings</t>
  </si>
  <si>
    <t>Grasping Vine</t>
  </si>
  <si>
    <t>Blight</t>
  </si>
  <si>
    <t>Ice Storm</t>
  </si>
  <si>
    <t>Wall of Fire</t>
  </si>
  <si>
    <t>Dominate Beast</t>
  </si>
  <si>
    <t>Conjure Minor Elementals</t>
  </si>
  <si>
    <t>Giant Insect</t>
  </si>
  <si>
    <t>Steel Wind Strike</t>
  </si>
  <si>
    <t>Enervation</t>
  </si>
  <si>
    <t>Far Step</t>
  </si>
  <si>
    <t>Wall of Light</t>
  </si>
  <si>
    <t>Immolation</t>
  </si>
  <si>
    <t>Synaptic Static</t>
  </si>
  <si>
    <t>Skill Empowerment</t>
  </si>
  <si>
    <t>Holy Weapon</t>
  </si>
  <si>
    <t>Dawn</t>
  </si>
  <si>
    <t>Danse Macabre</t>
  </si>
  <si>
    <t>Infernal Calling</t>
  </si>
  <si>
    <t>Negative Energy Flood</t>
  </si>
  <si>
    <t>Wrath of Nature</t>
  </si>
  <si>
    <t>Control Wind</t>
  </si>
  <si>
    <t>Transmute Rock</t>
  </si>
  <si>
    <t>Conjure Volley</t>
  </si>
  <si>
    <t>Swift Quiver</t>
  </si>
  <si>
    <t>Contact Other Plane</t>
  </si>
  <si>
    <t>Creation</t>
  </si>
  <si>
    <t>Cloudkill</t>
  </si>
  <si>
    <t>Cone of Cold</t>
  </si>
  <si>
    <t>Telekinesis</t>
  </si>
  <si>
    <t>Dream</t>
  </si>
  <si>
    <t>Hold Monster</t>
  </si>
  <si>
    <t>Dominate Person</t>
  </si>
  <si>
    <t>Seeming</t>
  </si>
  <si>
    <t>Teleportation Circle</t>
  </si>
  <si>
    <t>Raise Dead</t>
  </si>
  <si>
    <t>Legend Lore</t>
  </si>
  <si>
    <t>Scrying</t>
  </si>
  <si>
    <t>Geas</t>
  </si>
  <si>
    <t>Planar Binding</t>
  </si>
  <si>
    <t>Great Restoration</t>
  </si>
  <si>
    <t>Mass Cure Wounds</t>
  </si>
  <si>
    <t>Mislead</t>
  </si>
  <si>
    <t>Modify Memory</t>
  </si>
  <si>
    <t>Awaken</t>
  </si>
  <si>
    <t>Banishing Smite</t>
  </si>
  <si>
    <t>Circle of Power</t>
  </si>
  <si>
    <t>Destructive Wave</t>
  </si>
  <si>
    <t>Dispel Evil and Good</t>
  </si>
  <si>
    <t>Insect Plague</t>
  </si>
  <si>
    <t>Contagion</t>
  </si>
  <si>
    <t>Commune</t>
  </si>
  <si>
    <t>Flame Strike</t>
  </si>
  <si>
    <t>Hallow</t>
  </si>
  <si>
    <t>Passwall</t>
  </si>
  <si>
    <t>Wall of Force</t>
  </si>
  <si>
    <t>Commune with Nature</t>
  </si>
  <si>
    <t>Tree Stride</t>
  </si>
  <si>
    <t>Wall of Stone</t>
  </si>
  <si>
    <t>Conjure Elemental</t>
  </si>
  <si>
    <t>Antilife Shell</t>
  </si>
  <si>
    <t>Reincarnate</t>
  </si>
  <si>
    <t>Mental Prison</t>
  </si>
  <si>
    <t>Scatter</t>
  </si>
  <si>
    <t>Soul Cage</t>
  </si>
  <si>
    <t>Create Homunculus</t>
  </si>
  <si>
    <t>Tenser's Transformation</t>
  </si>
  <si>
    <t>Investiture of Flame</t>
  </si>
  <si>
    <t>Investiture of Ice</t>
  </si>
  <si>
    <t>Investiture of Stone</t>
  </si>
  <si>
    <t>Investiture of Wind</t>
  </si>
  <si>
    <t>Bones of the Earth</t>
  </si>
  <si>
    <t>Druid Grove</t>
  </si>
  <si>
    <t>Primordial Ward</t>
  </si>
  <si>
    <t>Flesh to Stone</t>
  </si>
  <si>
    <t>Arcane Gate</t>
  </si>
  <si>
    <t>Circle of Death</t>
  </si>
  <si>
    <t>Chain Lightning</t>
  </si>
  <si>
    <t>Disintegrate</t>
  </si>
  <si>
    <t>Globe of Invulnerability</t>
  </si>
  <si>
    <t>Eyebite</t>
  </si>
  <si>
    <t>Mass Suggestion</t>
  </si>
  <si>
    <t>True Seeing</t>
  </si>
  <si>
    <t>Guards and Wards</t>
  </si>
  <si>
    <t>Programmed Illusion</t>
  </si>
  <si>
    <t>Create Undead</t>
  </si>
  <si>
    <t>Heal</t>
  </si>
  <si>
    <t>Blade Barrier</t>
  </si>
  <si>
    <t>Forbiddance</t>
  </si>
  <si>
    <t>Harm</t>
  </si>
  <si>
    <t>Planar Ally</t>
  </si>
  <si>
    <t>Word of Recall</t>
  </si>
  <si>
    <t>Contingency</t>
  </si>
  <si>
    <t>Magic Jar</t>
  </si>
  <si>
    <t>Wall of Ice</t>
  </si>
  <si>
    <t>Conjure Fey</t>
  </si>
  <si>
    <t>Move Earth</t>
  </si>
  <si>
    <t>Sunbeam</t>
  </si>
  <si>
    <t>Transport via Plants</t>
  </si>
  <si>
    <t>Wall of Thorns</t>
  </si>
  <si>
    <t>Wind Walk</t>
  </si>
  <si>
    <t>Crown of Stars</t>
  </si>
  <si>
    <t>Power Word Pain</t>
  </si>
  <si>
    <t>Temple of the Gods</t>
  </si>
  <si>
    <t>Whirlwind</t>
  </si>
  <si>
    <t>Finger of Death</t>
  </si>
  <si>
    <t>Delayed Blast Fireball</t>
  </si>
  <si>
    <t>Prismatic Spray</t>
  </si>
  <si>
    <t>Forcecage</t>
  </si>
  <si>
    <t>Teleport</t>
  </si>
  <si>
    <t>Etherealness</t>
  </si>
  <si>
    <t>Symbol</t>
  </si>
  <si>
    <t>Regenerate</t>
  </si>
  <si>
    <t>Resurrection</t>
  </si>
  <si>
    <t>Project Image</t>
  </si>
  <si>
    <t>Mirage Arcane</t>
  </si>
  <si>
    <t>Plane Shift</t>
  </si>
  <si>
    <t>Fire Storm</t>
  </si>
  <si>
    <t>Conjure Celestial</t>
  </si>
  <si>
    <t>Divine Word</t>
  </si>
  <si>
    <t>Sequester</t>
  </si>
  <si>
    <t>Simulacrum</t>
  </si>
  <si>
    <t>Reverse Gravity</t>
  </si>
  <si>
    <t>Maddening Darkness</t>
  </si>
  <si>
    <t>Illusory Dragon</t>
  </si>
  <si>
    <t>Mighty Fortress</t>
  </si>
  <si>
    <t>Demiplane</t>
  </si>
  <si>
    <t>Incendiary Cloud</t>
  </si>
  <si>
    <t>Glibness</t>
  </si>
  <si>
    <t>Dominate Monster</t>
  </si>
  <si>
    <t>Power Word Stun</t>
  </si>
  <si>
    <t>Mind Blank</t>
  </si>
  <si>
    <t>Feeblemind</t>
  </si>
  <si>
    <t>Antimagic Field</t>
  </si>
  <si>
    <t>Earthquake</t>
  </si>
  <si>
    <t>Control Weather</t>
  </si>
  <si>
    <t>Holy Aura</t>
  </si>
  <si>
    <t>Clone</t>
  </si>
  <si>
    <t>Maze</t>
  </si>
  <si>
    <t>Telepathy</t>
  </si>
  <si>
    <t>Sunburst</t>
  </si>
  <si>
    <t>Tsunami</t>
  </si>
  <si>
    <t>Antipathy/Sympathy</t>
  </si>
  <si>
    <t>Animal Shapes</t>
  </si>
  <si>
    <t>Psychic Scream</t>
  </si>
  <si>
    <t>Mass Polymorph</t>
  </si>
  <si>
    <t>Invulnerability</t>
  </si>
  <si>
    <t>Imprisonment</t>
  </si>
  <si>
    <t>Meteor Swarm</t>
  </si>
  <si>
    <t>Time Stop</t>
  </si>
  <si>
    <t>Wish</t>
  </si>
  <si>
    <t>True Polymorph</t>
  </si>
  <si>
    <t>Power Word Kill</t>
  </si>
  <si>
    <t>Foresight</t>
  </si>
  <si>
    <t>Power Word Heal</t>
  </si>
  <si>
    <t>Astral Projection</t>
  </si>
  <si>
    <t>Gate</t>
  </si>
  <si>
    <t>True Resurrection</t>
  </si>
  <si>
    <t>Mass Heal</t>
  </si>
  <si>
    <t>Prismatic Wall</t>
  </si>
  <si>
    <t>Weird</t>
  </si>
  <si>
    <t>Shapechange</t>
  </si>
  <si>
    <t>Storm of Vengeance</t>
  </si>
  <si>
    <t>Magic Stone</t>
  </si>
  <si>
    <t>Gust</t>
  </si>
  <si>
    <t>Mold Earth</t>
  </si>
  <si>
    <t>Shape Water</t>
  </si>
  <si>
    <t>Control Flames</t>
  </si>
  <si>
    <t>Primal Savagery</t>
  </si>
  <si>
    <t>Prestidigitation</t>
  </si>
  <si>
    <t>Message</t>
  </si>
  <si>
    <t>Mending</t>
  </si>
  <si>
    <t>Thaumaturgy</t>
  </si>
  <si>
    <t>Druidcraft</t>
  </si>
  <si>
    <t>Shillelagh</t>
  </si>
  <si>
    <t>Thorn Whip</t>
  </si>
  <si>
    <t>Blade Ward</t>
  </si>
  <si>
    <t>Resistance</t>
  </si>
  <si>
    <t>Friend</t>
  </si>
  <si>
    <t>Vicious Mockery</t>
  </si>
  <si>
    <t>Minor Illusion</t>
  </si>
  <si>
    <t>Toll the Dead</t>
  </si>
  <si>
    <t>Chill Touch</t>
  </si>
  <si>
    <t>Spare the Dying</t>
  </si>
  <si>
    <t>Thunderclap</t>
  </si>
  <si>
    <t>Word of Radiance</t>
  </si>
  <si>
    <t>Frostbite</t>
  </si>
  <si>
    <t>Booming Blade</t>
  </si>
  <si>
    <t>Lightning Lure</t>
  </si>
  <si>
    <t>Eldritch Blast</t>
  </si>
  <si>
    <t>Ray of Frost</t>
  </si>
  <si>
    <t>Shocking Grasp</t>
  </si>
  <si>
    <t>Dancing Lights</t>
  </si>
  <si>
    <t>Light</t>
  </si>
  <si>
    <t>Sacred Flame</t>
  </si>
  <si>
    <t>True Strike</t>
  </si>
  <si>
    <t>Guidance</t>
  </si>
  <si>
    <t>Create Bonfire</t>
  </si>
  <si>
    <t>Infestation</t>
  </si>
  <si>
    <t>Sword Burst</t>
  </si>
  <si>
    <t>Acid Splash</t>
  </si>
  <si>
    <t>Mage Hand</t>
  </si>
  <si>
    <t>Produce Flame</t>
  </si>
  <si>
    <t>Poison Spray</t>
  </si>
  <si>
    <t>Mind Sliver</t>
  </si>
  <si>
    <t>心灵之楔</t>
  </si>
  <si>
    <t>Summon Beast</t>
  </si>
  <si>
    <t>塔莎心灵鞭</t>
  </si>
  <si>
    <t>Intellect Fortress</t>
  </si>
  <si>
    <t>Spirit Shroud</t>
  </si>
  <si>
    <t>魂灵环绕</t>
  </si>
  <si>
    <t>Summon Fey</t>
  </si>
  <si>
    <t>Summon Shadowspawn</t>
  </si>
  <si>
    <t>Summon Undead</t>
  </si>
  <si>
    <t>Summon Aberration</t>
  </si>
  <si>
    <t>Summon Construct</t>
  </si>
  <si>
    <t>Summon Celestial</t>
  </si>
  <si>
    <t>Summon Fiend</t>
  </si>
  <si>
    <t>塔莎超凡形态</t>
  </si>
  <si>
    <t>蓝纱一梦</t>
  </si>
  <si>
    <t>20尺</t>
  </si>
  <si>
    <t>6小时</t>
  </si>
  <si>
    <t>次元袋1</t>
  </si>
  <si>
    <t>专注，至多1小时</t>
    <phoneticPr fontId="49" type="noConversion"/>
  </si>
  <si>
    <t>专注，至多1分钟</t>
    <phoneticPr fontId="49" type="noConversion"/>
  </si>
  <si>
    <t>自身</t>
    <phoneticPr fontId="49" type="noConversion"/>
  </si>
  <si>
    <t>特殊能力</t>
    <phoneticPr fontId="49" type="noConversion"/>
  </si>
  <si>
    <t>魔宠或宠物</t>
  </si>
  <si>
    <t>名字</t>
  </si>
  <si>
    <t>星界精灵</t>
    <phoneticPr fontId="49" type="noConversion"/>
  </si>
  <si>
    <t>苍白精灵</t>
    <phoneticPr fontId="49" type="noConversion"/>
  </si>
  <si>
    <t>学派</t>
  </si>
  <si>
    <t>仪式</t>
  </si>
  <si>
    <t>V 言语</t>
  </si>
  <si>
    <t>S 姿势</t>
  </si>
  <si>
    <t>M 材料</t>
  </si>
  <si>
    <t>材料内容</t>
  </si>
  <si>
    <t>法术详述</t>
  </si>
  <si>
    <t>英文名</t>
  </si>
  <si>
    <t>玩家手册</t>
  </si>
  <si>
    <t>M</t>
  </si>
  <si>
    <t>一把至少价值1sp的近战武器</t>
  </si>
  <si>
    <t>剑湾冒险者指南</t>
  </si>
  <si>
    <t>珊娜萨的万事指南</t>
  </si>
  <si>
    <t>专注,至多1分钟</t>
  </si>
  <si>
    <t>一点磷或光榆木，或者一只萤火虫</t>
  </si>
  <si>
    <t>Fire Bolt</t>
  </si>
  <si>
    <t>惑控</t>
  </si>
  <si>
    <t>法术施展时作用于脸部的一些化妆用品</t>
  </si>
  <si>
    <t>Green Flame Blade</t>
  </si>
  <si>
    <t>一只活跳蚤</t>
  </si>
  <si>
    <t>一只萤火虫或一片磷光苔藓</t>
  </si>
  <si>
    <t>两块天然磁石</t>
  </si>
  <si>
    <t>一小段铜线</t>
  </si>
  <si>
    <t>塔莎的万象坩埚</t>
  </si>
  <si>
    <t>一小块羊毛</t>
  </si>
  <si>
    <t>一件微型斗篷</t>
  </si>
  <si>
    <t>削弱芒刺</t>
  </si>
  <si>
    <t>Sapping Sting</t>
  </si>
  <si>
    <t>荒洲探险家指南</t>
  </si>
  <si>
    <t>操水</t>
  </si>
  <si>
    <t>一些槲寄生，一片三叶草的叶子和一根短棒或木杖</t>
  </si>
  <si>
    <t>一根来自带刺植物的茎干</t>
  </si>
  <si>
    <t>克敌先机</t>
  </si>
  <si>
    <t>专注,至多1轮</t>
  </si>
  <si>
    <t>光耀祷言</t>
  </si>
  <si>
    <t>一块圣徽</t>
  </si>
  <si>
    <t>思维编码</t>
    <phoneticPr fontId="49" type="noConversion"/>
  </si>
  <si>
    <t>惑控</t>
    <phoneticPr fontId="49" type="noConversion"/>
  </si>
  <si>
    <t>S</t>
    <phoneticPr fontId="49" type="noConversion"/>
  </si>
  <si>
    <t>8小时</t>
    <phoneticPr fontId="49" type="noConversion"/>
  </si>
  <si>
    <t>Encode Thoughts</t>
    <phoneticPr fontId="49" type="noConversion"/>
  </si>
  <si>
    <t>拉尼卡公会会长指南</t>
    <phoneticPr fontId="49" type="noConversion"/>
  </si>
  <si>
    <t>一个小铃铛和一小段银线</t>
  </si>
  <si>
    <t>一点食物</t>
  </si>
  <si>
    <t>一杯水</t>
  </si>
  <si>
    <t>一滴血</t>
  </si>
  <si>
    <t>一小块被布包裹的毛皮</t>
  </si>
  <si>
    <t>专注,至多10分钟</t>
  </si>
  <si>
    <t>一钵圣水</t>
  </si>
  <si>
    <t>Burning Hand</t>
  </si>
  <si>
    <t>至少价值25gp的银粉，作为此法术的耗材</t>
  </si>
  <si>
    <t>一枚至少价值50gp的钻石</t>
  </si>
  <si>
    <t>一撮粉末或沙子，其颜色必须包含红、黄、蓝三色</t>
  </si>
  <si>
    <t>一撮煤灰和一撮盐</t>
  </si>
  <si>
    <t>Comprehend Language</t>
  </si>
  <si>
    <t>造水为一滴水，枯水为一点谷物或沙子</t>
  </si>
  <si>
    <t>一片红豆杉叶</t>
  </si>
  <si>
    <t>地颤</t>
  </si>
  <si>
    <t>脚底抹油</t>
  </si>
  <si>
    <t>一小瓶酒或蒸馏酒精</t>
  </si>
  <si>
    <t>一小片羽毛或绒毛</t>
  </si>
  <si>
    <t>将价值10gp的木炭、焚香以及香草，放在黄铜盆中烧尽</t>
  </si>
  <si>
    <t>专注,至多1小时</t>
  </si>
  <si>
    <t>灵敏之赐</t>
  </si>
  <si>
    <t>Gift of Alacrity</t>
  </si>
  <si>
    <t>一枝槲寄生</t>
  </si>
  <si>
    <t>一小块猪皮或黄油</t>
  </si>
  <si>
    <t>光导箭</t>
    <phoneticPr fontId="49" type="noConversion"/>
  </si>
  <si>
    <t>一只被石化的蝾螈眼睛</t>
  </si>
  <si>
    <t>Hunter's Mark</t>
  </si>
  <si>
    <t>一滴水或一块冰</t>
  </si>
  <si>
    <t>一颗价值至少100gp的珍珠和一根猫头鹰羽毛</t>
  </si>
  <si>
    <t>Identity</t>
  </si>
  <si>
    <t>价值至少10gp的铅料墨水，作为法术的耗材</t>
  </si>
  <si>
    <t>一只蚱蜢的后腿</t>
  </si>
  <si>
    <t>一撮泥土</t>
  </si>
  <si>
    <t>一块鞣制过的皮革</t>
  </si>
  <si>
    <t>扩大重力</t>
  </si>
  <si>
    <t>Magnify Gravity</t>
  </si>
  <si>
    <t>圣水或者银和铁的粉末，作为该法术的耗材</t>
  </si>
  <si>
    <t>一小块银镜</t>
  </si>
  <si>
    <t>Sanctuary</t>
  </si>
  <si>
    <t>一小块写有神圣文字的羊皮纸</t>
  </si>
  <si>
    <t>少量羊毛</t>
  </si>
  <si>
    <t>一把细沙，玫瑰花瓣，或一只蟋蟀</t>
  </si>
  <si>
    <t>25尺的线绳，作为此法术的耗材</t>
  </si>
  <si>
    <t>塔莎腐蚀酿</t>
  </si>
  <si>
    <t>自身(30尺线状)</t>
  </si>
  <si>
    <t>一点腐烂的食物</t>
  </si>
  <si>
    <t>Tasha’s Caustic Brew</t>
  </si>
  <si>
    <t>一些小甜饼以及一片空中飘荡的羽毛</t>
  </si>
  <si>
    <t>Tasha's Hideous Laughter</t>
  </si>
  <si>
    <t>一滴水银</t>
  </si>
  <si>
    <t>Tenser's Floating Disk</t>
  </si>
  <si>
    <t>一根线和一块木头</t>
  </si>
  <si>
    <t>从一棵被闪电击中的树上取来的树枝</t>
  </si>
  <si>
    <t>扭曲价值</t>
  </si>
  <si>
    <t>Distort Value</t>
  </si>
  <si>
    <t>艾奎兹玄有限责任公司</t>
  </si>
  <si>
    <t>吉姆的魔法飞弹</t>
  </si>
  <si>
    <t>版税成分：1gp</t>
  </si>
  <si>
    <t>Jim's Magic Missile</t>
  </si>
  <si>
    <t>银光锐语</t>
  </si>
  <si>
    <t>Silvery Barbs</t>
  </si>
  <si>
    <t>斯翠海文：混乱之课</t>
  </si>
  <si>
    <t>一片红龙的鳞片</t>
  </si>
  <si>
    <t>Aganazzar's Scorcher</t>
  </si>
  <si>
    <t>一小片白布</t>
  </si>
  <si>
    <t>至少价值25gp的金粉</t>
  </si>
  <si>
    <t>至少价值25金币的一套绘有标记的短棒，骨头，或类似的象征物</t>
  </si>
  <si>
    <t>一把橡树皮</t>
  </si>
  <si>
    <t>一小片玻璃</t>
  </si>
  <si>
    <t>价值50gp的红宝石粉末，作为该法术的耗材</t>
  </si>
  <si>
    <t>四支或更多的箭或矢</t>
  </si>
  <si>
    <t>蝙蝠毛发，以及一滴沥青或一小块煤</t>
  </si>
  <si>
    <t>一点胡萝卜干或一个玛瑙</t>
  </si>
  <si>
    <t>一块铜片</t>
  </si>
  <si>
    <t>一枚辣椒</t>
  </si>
  <si>
    <t>一捧尘土</t>
  </si>
  <si>
    <t>野兽的毛皮或羽毛</t>
  </si>
  <si>
    <t>变巨_缩小术</t>
  </si>
  <si>
    <t>一撮铁粉</t>
  </si>
  <si>
    <t>漆树的叶子</t>
  </si>
  <si>
    <t>一小块兽脂、一小撮硫磺石和少量铁粉</t>
  </si>
  <si>
    <t>命运宠儿</t>
  </si>
  <si>
    <t>一颗至少价值100GP的白色珍珠，在施法时被消耗</t>
  </si>
  <si>
    <t>Fortune’s Favor</t>
  </si>
  <si>
    <t>√</t>
    <phoneticPr fontId="49" type="noConversion"/>
  </si>
  <si>
    <t>一撮盐，以及尸体每只眼睛上必须放置的铜币，铜币必须在法术持续时间内一直保留在眼睛上</t>
  </si>
  <si>
    <t>一粒豆科植物的种子</t>
  </si>
  <si>
    <t>一片铁片和一团火焰</t>
  </si>
  <si>
    <t>一片直的小铁片</t>
  </si>
  <si>
    <t>不动物件</t>
  </si>
  <si>
    <t>至少价值25gp的金尘，在施法时消耗</t>
  </si>
  <si>
    <t>Immovable Object</t>
  </si>
  <si>
    <t>一根包裹在阿拉伯胶中的睫毛</t>
  </si>
  <si>
    <t>一个小皮圈，或者一段弯成长柄杯状的金线</t>
  </si>
  <si>
    <t>一块寻血猎犬的皮毛</t>
  </si>
  <si>
    <t>一根分叉的树枝</t>
  </si>
  <si>
    <t>一小块蜂窝和至少价值10gp的翡翠粉作为法术的耗材</t>
  </si>
  <si>
    <t>一个由陶土雕塑成的手的模型</t>
  </si>
  <si>
    <t>Maximilian's Earthen Grasp</t>
  </si>
  <si>
    <t>磨碎的大黄叶和一只蝰蛇的胃囊</t>
  </si>
  <si>
    <t>Melf's Acid Arrow</t>
  </si>
  <si>
    <t>几粒月籽藤种子和一块乳白色的长石</t>
  </si>
  <si>
    <t>一小块方形丝绸</t>
  </si>
  <si>
    <t>Nystul's Magic Aura</t>
  </si>
  <si>
    <t>一片槲寄生叶子烧成的灰和一小枝云杉</t>
  </si>
  <si>
    <t>一点羊毛</t>
  </si>
  <si>
    <t>玉米粉和一卷羊皮纸绞成的纸</t>
  </si>
  <si>
    <t>一撮滑石粉和少量银粉</t>
  </si>
  <si>
    <t>一片云母</t>
  </si>
  <si>
    <t>写入空中</t>
  </si>
  <si>
    <t>一块冰或一小块白色岩石碎片</t>
  </si>
  <si>
    <t>Snilloc's Snowball Swarm</t>
  </si>
  <si>
    <t>一滴沥青和一只蜘蛛</t>
  </si>
  <si>
    <t>七根棘刺或七根嫩枝，每根都要削尖</t>
  </si>
  <si>
    <t>一条蛇舌，加上一小块蜂巢或一滴甜油</t>
  </si>
  <si>
    <t>专注,至多8小时</t>
  </si>
  <si>
    <t>至少价值200gp的一根羽毛，一捆毛皮和一条装在镀金橡果中的鱼尾</t>
  </si>
  <si>
    <t>Tasha’s Mind Whip</t>
  </si>
  <si>
    <t>一对单个价值至少50gp的铂金戒指，并由你和目标在法术持续时间内一直佩戴</t>
  </si>
  <si>
    <t>少量蜘蛛网</t>
  </si>
  <si>
    <t>魔袋术</t>
  </si>
  <si>
    <t>Wristpocket</t>
  </si>
  <si>
    <t>Gift of Gab</t>
  </si>
  <si>
    <t>吉姆的发光硬币</t>
  </si>
  <si>
    <t>一枚硬币。版税成分：2gp</t>
  </si>
  <si>
    <t>Jim's Glowing Coin</t>
  </si>
  <si>
    <t>纳撒尔恶作剧</t>
  </si>
  <si>
    <t>一块苹果派的饼皮</t>
  </si>
  <si>
    <t>Nathair's Mischief</t>
  </si>
  <si>
    <t>费茨本的巨龙宝库</t>
  </si>
  <si>
    <t>雾凇霜缚</t>
    <phoneticPr fontId="49" type="noConversion"/>
  </si>
  <si>
    <t>一瓶冰雪融化而成的水</t>
  </si>
  <si>
    <t>Rime's Binding lce</t>
  </si>
  <si>
    <t>借鉴才学</t>
  </si>
  <si>
    <t>一本价值至少25gp的书</t>
  </si>
  <si>
    <t>Borrowed Knowledge</t>
  </si>
  <si>
    <t>动力短行</t>
  </si>
  <si>
    <t>Kinetic Jaunt</t>
  </si>
  <si>
    <t>涡旋翘曲</t>
  </si>
  <si>
    <t>Vortex Warp</t>
  </si>
  <si>
    <t>靡叶生华</t>
  </si>
  <si>
    <t>枯萎的藤蔓，弯折成环形</t>
  </si>
  <si>
    <t>Wither and Bloom</t>
  </si>
  <si>
    <t>空气泡泡</t>
    <phoneticPr fontId="49" type="noConversion"/>
  </si>
  <si>
    <t>咒法</t>
    <phoneticPr fontId="49" type="noConversion"/>
  </si>
  <si>
    <t>60尺</t>
    <phoneticPr fontId="49" type="noConversion"/>
  </si>
  <si>
    <t>24小时</t>
    <phoneticPr fontId="49" type="noConversion"/>
  </si>
  <si>
    <t xml:space="preserve">Air Bubble </t>
    <phoneticPr fontId="49" type="noConversion"/>
  </si>
  <si>
    <t>星界冒险指南</t>
    <phoneticPr fontId="49" type="noConversion"/>
  </si>
  <si>
    <t>魔宠群</t>
    <phoneticPr fontId="49" type="noConversion"/>
  </si>
  <si>
    <t>1分钟</t>
    <phoneticPr fontId="49" type="noConversion"/>
  </si>
  <si>
    <t>触及</t>
    <phoneticPr fontId="49" type="noConversion"/>
  </si>
  <si>
    <t>V</t>
    <phoneticPr fontId="49" type="noConversion"/>
  </si>
  <si>
    <t>专注,至多1小时</t>
    <phoneticPr fontId="49" type="noConversion"/>
  </si>
  <si>
    <t>Flock of Familiars</t>
    <phoneticPr fontId="49" type="noConversion"/>
  </si>
  <si>
    <t>夸力许的失落实验室</t>
    <phoneticPr fontId="49" type="noConversion"/>
  </si>
  <si>
    <t>侦测扭曲</t>
    <phoneticPr fontId="49" type="noConversion"/>
  </si>
  <si>
    <t>预言</t>
    <phoneticPr fontId="49" type="noConversion"/>
  </si>
  <si>
    <t>M</t>
    <phoneticPr fontId="49" type="noConversion"/>
  </si>
  <si>
    <t>一片剃刀叶</t>
    <phoneticPr fontId="49" type="noConversion"/>
  </si>
  <si>
    <t>Warp Sense</t>
    <phoneticPr fontId="49" type="noConversion"/>
  </si>
  <si>
    <t>印记城与外域</t>
    <phoneticPr fontId="49" type="noConversion"/>
  </si>
  <si>
    <t>卡牌喷射</t>
    <phoneticPr fontId="49" type="noConversion"/>
  </si>
  <si>
    <t>自身(15尺锥形)</t>
    <phoneticPr fontId="49" type="noConversion"/>
  </si>
  <si>
    <t>一副牌组</t>
    <phoneticPr fontId="49" type="noConversion"/>
  </si>
  <si>
    <t>立即</t>
    <phoneticPr fontId="49" type="noConversion"/>
  </si>
  <si>
    <t>Spray of Cards</t>
    <phoneticPr fontId="49" type="noConversion"/>
  </si>
  <si>
    <t>万象无常书</t>
    <phoneticPr fontId="49" type="noConversion"/>
  </si>
  <si>
    <t>一滴血，一块肉，以及一点骨灰</t>
  </si>
  <si>
    <t>Call Lighting</t>
  </si>
  <si>
    <t>一撮沙子</t>
  </si>
  <si>
    <t>价值至少100gp的法器，选择聆听时用一个以珠宝装饰的号角，选择观察时用一颗玻璃眼珠</t>
  </si>
  <si>
    <t>一发弹药或一把投掷武器</t>
  </si>
  <si>
    <t>Crusader's Mantle</t>
  </si>
  <si>
    <t>一块黑曜石</t>
  </si>
  <si>
    <t>一片白羽毛或一颗母鸡心</t>
  </si>
  <si>
    <t>一把坟土</t>
  </si>
  <si>
    <t>一小球蝙蝠粪及硫磺</t>
  </si>
  <si>
    <t>任何鸟类翅膀上的羽毛</t>
  </si>
  <si>
    <t>一小片薄纱和一缕清烟</t>
  </si>
  <si>
    <t>熏香和至少200gp的钻石粉，作为法术的耗材</t>
  </si>
  <si>
    <t>一片甘草根切片</t>
  </si>
  <si>
    <t>一条酸洗过的章鱼触须</t>
  </si>
  <si>
    <t>一根点燃的熏香或一个装有磷光材料的水晶小瓶</t>
  </si>
  <si>
    <t>一个小水晶珠子</t>
  </si>
  <si>
    <t>Leomund's Tiny Hut</t>
  </si>
  <si>
    <t>一些皮毛和琥珀质、水晶质或玻璃质的一根棒子</t>
  </si>
  <si>
    <t>总价值至少100gp的圣水或银、铁粉，作为该法术的耗材</t>
  </si>
  <si>
    <t>由松木盛着的硝石和硫磺，外形为小珠子</t>
  </si>
  <si>
    <t>Melf's Minute Meteors</t>
  </si>
  <si>
    <t>一撮价值至少25gp的钻石粉末，撒在目标身上作为该法术的耗材</t>
  </si>
  <si>
    <t>脉冲波动</t>
  </si>
  <si>
    <t>Pulse Wave</t>
  </si>
  <si>
    <t>消耗总价值至少300gp的钻石</t>
  </si>
  <si>
    <t>一小段细铜线</t>
  </si>
  <si>
    <t>一撮灰尘和几滴水</t>
  </si>
  <si>
    <t>一滴糖浆</t>
  </si>
  <si>
    <t>燃烧的香</t>
  </si>
  <si>
    <t>自身(15尺半径)</t>
  </si>
  <si>
    <t>一面圣徽</t>
  </si>
  <si>
    <t>一个臭鸡蛋或几根臭菘草</t>
  </si>
  <si>
    <t>一朵至少价值300gp的镀金花</t>
  </si>
  <si>
    <t>来自一个于24小时之内被杀的类人生物身上的一剂血液</t>
  </si>
  <si>
    <t>至少价值300gp的包有眼泪的宝石</t>
  </si>
  <si>
    <t>一个至少价值300gp的镀金头骨</t>
  </si>
  <si>
    <t>一滴水</t>
  </si>
  <si>
    <t>一个陶制阶梯金字塔小模型</t>
  </si>
  <si>
    <t>沙墙术</t>
  </si>
  <si>
    <t>一捧沙</t>
  </si>
  <si>
    <t>水墙术</t>
  </si>
  <si>
    <t>一根芦苇或稻草</t>
  </si>
  <si>
    <t>一个软木塞</t>
  </si>
  <si>
    <t>一把小扇和一根稀有生物的羽毛</t>
  </si>
  <si>
    <t>快速交友</t>
  </si>
  <si>
    <t>Fast Friends</t>
  </si>
  <si>
    <t>鼓动贪欲</t>
  </si>
  <si>
    <t>一块至少价值 50gp 的宝石</t>
  </si>
  <si>
    <t>Incite Greed</t>
  </si>
  <si>
    <t>励志演讲</t>
  </si>
  <si>
    <t>Motivational Speech</t>
  </si>
  <si>
    <t>阿莎德隆奔行</t>
  </si>
  <si>
    <t>Ashardalon's Stride</t>
  </si>
  <si>
    <t>加德尔高塔术</t>
    <phoneticPr fontId="49" type="noConversion"/>
  </si>
  <si>
    <t>10分钟</t>
    <phoneticPr fontId="49" type="noConversion"/>
  </si>
  <si>
    <t>30尺</t>
    <phoneticPr fontId="49" type="noConversion"/>
  </si>
  <si>
    <t>一块石头，木材或其他建筑材料的碎片</t>
    <phoneticPr fontId="49" type="noConversion"/>
  </si>
  <si>
    <t>Galder's Tower</t>
    <phoneticPr fontId="49" type="noConversion"/>
  </si>
  <si>
    <t>敌意术</t>
    <phoneticPr fontId="49" type="noConversion"/>
  </si>
  <si>
    <t>一张描绘着 浪客Rogue 的卡牌</t>
    <phoneticPr fontId="49" type="noConversion"/>
  </si>
  <si>
    <t>Antagonize</t>
    <phoneticPr fontId="49" type="noConversion"/>
  </si>
  <si>
    <t>一点蝙蝠毛皮</t>
  </si>
  <si>
    <t>生命灵光</t>
    <phoneticPr fontId="49" type="noConversion"/>
  </si>
  <si>
    <t>Aura of Purify</t>
  </si>
  <si>
    <t>一件令目标厌恶的物品</t>
  </si>
  <si>
    <t>三颗坚果壳</t>
  </si>
  <si>
    <t>每个被召唤生物一枚冬青浆果</t>
  </si>
  <si>
    <t>一滴水和一撮土</t>
  </si>
  <si>
    <t>适合你宗教信仰的熏香和祭品，总共价值至少25金币，作为该法术的耗材</t>
  </si>
  <si>
    <t>巨章鱼或巨鱿鱼的一条触须</t>
  </si>
  <si>
    <t>Evard's Black Tentacles</t>
  </si>
  <si>
    <t>召唤高等坐骑</t>
  </si>
  <si>
    <t>一小块磷或者一只萤火虫</t>
  </si>
  <si>
    <t>一条绑在手臂或其他肢体上的皮带</t>
  </si>
  <si>
    <t>引力裂沟</t>
  </si>
  <si>
    <t>一块黑色的大理石</t>
  </si>
  <si>
    <t>Gravity Sinkhole</t>
  </si>
  <si>
    <t>一块石头、一枝嫩枝和一小片绿色植物</t>
  </si>
  <si>
    <t>一撮尘土和几滴水</t>
  </si>
  <si>
    <t>Leomund's Secret Chest</t>
  </si>
  <si>
    <t>魔邓肯忠犬</t>
  </si>
  <si>
    <t>一只微型银质哨子、一块骨头和一根线</t>
  </si>
  <si>
    <t>Mordenkaine's Faithful Hound</t>
  </si>
  <si>
    <t>魔邓肯私人密室</t>
  </si>
  <si>
    <t>一片薄铅片、一块不透明的玻璃、一小块棉花或布料和贵橄榄石粉末</t>
  </si>
  <si>
    <t>Mordenkaine's Private Sanctum</t>
  </si>
  <si>
    <t>一块透明的半球形水晶和一块与之形状相配的半球形阿拉伯胶</t>
  </si>
  <si>
    <t>Otiluke's Resilient Sphere</t>
  </si>
  <si>
    <t>一个毛毛虫茧</t>
  </si>
  <si>
    <t>至少价值150gp的镶嵌在宝石里的不死生物的眼睛</t>
  </si>
  <si>
    <t>软粘土，必须捏成你想塑造的大致形状</t>
  </si>
  <si>
    <t>价值100gp的钻石粉尘作为该法术的耗材</t>
  </si>
  <si>
    <t>至少价值400gp的一条腌制触手和一颗装在白金瓶中的眼球</t>
  </si>
  <si>
    <t>至少价值400gp的一块华丽的石头和一个金属密码箱</t>
  </si>
  <si>
    <t>一滴巨型蜗牛的胆汁</t>
  </si>
  <si>
    <t>一小块磷</t>
  </si>
  <si>
    <t>至少价值400gp的装有空气，一块鹅卵石，灰烬和水的黄金瓶</t>
  </si>
  <si>
    <t>术Summon Elemental</t>
  </si>
  <si>
    <t>劳洛希姆心灵长枪</t>
  </si>
  <si>
    <t>Raulothim's Psychic Lance</t>
  </si>
  <si>
    <t>加德尔急速邮差</t>
    <phoneticPr fontId="49" type="noConversion"/>
  </si>
  <si>
    <t>10尺</t>
    <phoneticPr fontId="49" type="noConversion"/>
  </si>
  <si>
    <t>25金币，或同等价值的矿石货物作为法术耗材</t>
    <phoneticPr fontId="49" type="noConversion"/>
  </si>
  <si>
    <t>Galder's Speedy Courier</t>
    <phoneticPr fontId="49" type="noConversion"/>
  </si>
  <si>
    <t>界门封锁</t>
    <phoneticPr fontId="49" type="noConversion"/>
  </si>
  <si>
    <t>防护</t>
    <phoneticPr fontId="49" type="noConversion"/>
  </si>
  <si>
    <t>一把损坏的传送门钥匙，作为本法术的耗材</t>
    <phoneticPr fontId="49" type="noConversion"/>
  </si>
  <si>
    <t>Gate Seal</t>
    <phoneticPr fontId="49" type="noConversion"/>
  </si>
  <si>
    <t>死神灵魄</t>
    <phoneticPr fontId="49" type="noConversion"/>
  </si>
  <si>
    <t>一张描绘着死神化身的镀金纸牌，至少价值400gp</t>
    <phoneticPr fontId="49" type="noConversion"/>
  </si>
  <si>
    <t>Spirit of Death</t>
    <phoneticPr fontId="49" type="noConversion"/>
  </si>
  <si>
    <t>Animate Object</t>
  </si>
  <si>
    <t>一块价值至少1000gp的玛瑙</t>
  </si>
  <si>
    <t>一块蛋壳和一只蛇皮手套</t>
  </si>
  <si>
    <t>Bigby's Hand</t>
  </si>
  <si>
    <t>焚香和一小瓶圣水或邪水</t>
  </si>
  <si>
    <t>一个小水晶或玻璃锥</t>
  </si>
  <si>
    <t>气元素为点燃的焚香，土元素为陶土，火元素为硫和磷，水元素为水和沙子</t>
  </si>
  <si>
    <t>操控风力</t>
  </si>
  <si>
    <t>所创造物品的一小部分</t>
  </si>
  <si>
    <t>价值至少100gp的旭日坠饰</t>
  </si>
  <si>
    <t>圣水或银铁粉末</t>
  </si>
  <si>
    <t>一把沙子，一点墨水，和一支从沉睡的鸟儿身上拔下的可书写羽毛</t>
  </si>
  <si>
    <t>一小撮硫磺</t>
  </si>
  <si>
    <t>价值至少100gp的钻石粉，作为该法术的耗材</t>
  </si>
  <si>
    <t>价值至少1,000gp的草药、油与熏香，作为该法术的耗材</t>
  </si>
  <si>
    <t>一块价值至少999gp的红宝石</t>
  </si>
  <si>
    <t>少许糖，一些脱壳的谷粒和一抹油脂</t>
  </si>
  <si>
    <t>价值至少250gp的熏香，作为法术的耗材。以及每块价值至少50gp的四块象牙板</t>
  </si>
  <si>
    <t>漏斗形状的纸张或叶片</t>
  </si>
  <si>
    <t>Maelstorm</t>
  </si>
  <si>
    <t>一块破碎的骨头和一块方形的黑色丝绸</t>
  </si>
  <si>
    <t>一撮芝麻</t>
  </si>
  <si>
    <t>一枚价值至少1000gp的宝石，作为该法术的耗材</t>
  </si>
  <si>
    <t>一颗至少价值500gp的钻石，作为该法术的耗材</t>
  </si>
  <si>
    <t>两种不同生物的蛋壳碎片</t>
  </si>
  <si>
    <t>Rary's Telepathic Bond</t>
  </si>
  <si>
    <t>价值至少1000gp的稀有油和软膏，作为该法术的耗材</t>
  </si>
  <si>
    <t>一个至少价值1,000gp的聚焦镜，例如水晶球、银镜、圣水盆</t>
  </si>
  <si>
    <t>一把价值至少1sp的近战武器</t>
  </si>
  <si>
    <t>一个至少价值500gp的金制圣物匣</t>
  </si>
  <si>
    <t>一个箭袋，其内至少要有一发弹药</t>
  </si>
  <si>
    <t>稀有粉笔和浸有价值50gp珍稀宝石的墨水，作为该法术的耗材</t>
  </si>
  <si>
    <t>时流刹转</t>
  </si>
  <si>
    <t>Temporal Shunt</t>
  </si>
  <si>
    <t>陶土和水</t>
  </si>
  <si>
    <t>由纯净的宝石原石碾成的一小撮粉末</t>
  </si>
  <si>
    <t>光墙术</t>
  </si>
  <si>
    <t>一面手镜</t>
  </si>
  <si>
    <t>一小块花岗岩</t>
  </si>
  <si>
    <t>龙类精魄召唤术</t>
  </si>
  <si>
    <t>一件带有巨龙图案的物品，价值至少500gp</t>
  </si>
  <si>
    <t>Summon Draconic Spirit</t>
  </si>
  <si>
    <t>创造法驱魔舵</t>
    <phoneticPr fontId="49" type="noConversion"/>
  </si>
  <si>
    <t>变化</t>
    <phoneticPr fontId="49" type="noConversion"/>
  </si>
  <si>
    <t>一根价值至少 5000gp 的水晶权杖，在施法时消耗</t>
    <phoneticPr fontId="49" type="noConversion"/>
  </si>
  <si>
    <t>Create Spelljamming Helm</t>
    <phoneticPr fontId="49" type="noConversion"/>
  </si>
  <si>
    <t>一些毛皮，一块琥珀，玻璃或一柄水晶权杖，以及三根银质别针</t>
  </si>
  <si>
    <t>研磨过的黑珍珠粉末，价值至少500gp</t>
  </si>
  <si>
    <t>一尊你自己的塑像，其材质为象牙并以宝石作装饰，其价值至少为1,500gp</t>
  </si>
  <si>
    <t>创造造妖</t>
  </si>
  <si>
    <t>黏土，灰尘，曼德拉草根，以上材料在施法时被消耗，以及价值1000gp的镶嵌宝石的匕首</t>
  </si>
  <si>
    <t>一个装满坟土的陶壶和一个装满苦水的陶壶，并为每具尸体准备一枚150 gp的黑玛瑙</t>
  </si>
  <si>
    <t>一块磁石和一撮灰尘</t>
  </si>
  <si>
    <t>一枚价值1000gp的蓝宝石</t>
  </si>
  <si>
    <t>Drawmij's Instant Summons</t>
  </si>
  <si>
    <t>一个在满月之光下以黄金镰刀收割的槲寄生，作为此法术的耗材</t>
  </si>
  <si>
    <t>一套占卜用具，比如骨头、象牙、卡片、牙齿、雕刻符文等，其价值至少为100gp，此外还需要一个来自你所寻找地点的物件</t>
  </si>
  <si>
    <t>专注,至多1日</t>
  </si>
  <si>
    <t>Fing the Path</t>
  </si>
  <si>
    <t>一小撮石灰、水和土壤</t>
  </si>
  <si>
    <t>少量圣水，稀有焚香，以及至少价值1,000gp的红宝石粉末</t>
  </si>
  <si>
    <t>一个玻璃质或水晶质的珠子，其将在法术终止时破碎</t>
  </si>
  <si>
    <t>重力分裂</t>
  </si>
  <si>
    <t>一把铁料</t>
  </si>
  <si>
    <t>Gravity Fissure</t>
  </si>
  <si>
    <t>燃烧的熏香，少许硫磺和油，一条打结的绳子，少量土巨怪的血和一把至少价值10gp的小型银权杖</t>
  </si>
  <si>
    <t>一个价值至少1,000gp的镶饰宝石的碗，作为法术的耗材</t>
  </si>
  <si>
    <t>Hero's Feast</t>
  </si>
  <si>
    <t>一块宝石或水晶，或者一个圣物匣，又或者其他带装饰的容器，其价值不能低于500gp</t>
  </si>
  <si>
    <t>一条蛇的舌头外加一小块蜂窝或一滴橄榄油</t>
  </si>
  <si>
    <t>一把铁刃以及一个小袋子，袋内装着黏土、壤土、砂土等混成的泥土</t>
  </si>
  <si>
    <t>专注,至多2小时</t>
  </si>
  <si>
    <t>一个小水晶球</t>
  </si>
  <si>
    <t>Otiluke's Freezing Sphere</t>
  </si>
  <si>
    <t>Otto's Irresistible Dance</t>
  </si>
  <si>
    <t>一点羊毛和价值至少25gp的翡翠粉末</t>
  </si>
  <si>
    <t>珊娜萨的万事指南</t>
    <phoneticPr fontId="49" type="noConversion"/>
  </si>
  <si>
    <t>一个价值至少100gp的银笼子</t>
  </si>
  <si>
    <t>至少价值600gp的装有类人生物血液的红宝石瓶</t>
  </si>
  <si>
    <t>一面放大镜</t>
  </si>
  <si>
    <t>一件至少价值500gp的镶嵌有外层位面标记的物件</t>
  </si>
  <si>
    <t>Tasha’s Otherworldly Guise</t>
  </si>
  <si>
    <t>一缕公牛毛发</t>
  </si>
  <si>
    <t>由蘑菇粉、藏红花和油脂制成的眼药膏，价值为25gp，作为该法术耗材</t>
  </si>
  <si>
    <t>一小块石英</t>
  </si>
  <si>
    <t>一把荆棘</t>
  </si>
  <si>
    <t>明火和圣水</t>
  </si>
  <si>
    <t>费茨本铂金盾</t>
  </si>
  <si>
    <t>一枚镀上铂金的龙鳞，价值至少500gp</t>
  </si>
  <si>
    <t>Fizban's Platinum Shield</t>
  </si>
  <si>
    <t>一颗蝙蝠粪和硫磺混合的小球</t>
  </si>
  <si>
    <t>源自目标世界的一件魔法物品或一个自愿生物</t>
  </si>
  <si>
    <t>Dream of the Blue Veil</t>
  </si>
  <si>
    <t>以太化</t>
  </si>
  <si>
    <t>价值1,500gp的红宝石尘</t>
  </si>
  <si>
    <t>魔邓肯豪宅术</t>
  </si>
  <si>
    <t>一个象牙雕琢的拱门小模型、一块打磨过的大理石和一把微型银汤匙，每件物品至少价值5gp</t>
  </si>
  <si>
    <t>Mordenkaine's Magnificent Mansion</t>
  </si>
  <si>
    <t>魔邓肯之剑</t>
  </si>
  <si>
    <t>一把剑柄和柄端由铜与锌打造的微缩铂金剑，价值250gp</t>
  </si>
  <si>
    <t>Mordenkaine's Sword</t>
  </si>
  <si>
    <t>一根与某个位面完成同调，价值至少250gp的分叉金属短棒</t>
  </si>
  <si>
    <t>500里</t>
  </si>
  <si>
    <t>价值至少5gp的材料制成的一个你自身的微缩模型</t>
  </si>
  <si>
    <t>一个转经筒和圣水</t>
  </si>
  <si>
    <t>一颗至少价值1000gp的钻石，作为该法术的耗材</t>
  </si>
  <si>
    <t>一块磁石和一些铁屑</t>
  </si>
  <si>
    <t>钻石、绿宝石、红宝石、蓝宝石得粉尘混合而成的粉末，其价值至少5000gp，作为该法术的耗材</t>
  </si>
  <si>
    <t>一些雪或冰，用来给模拟对象制作一个真人大小的模型；放置在模型上的模拟对象身体的一部分，比如毛发或指甲；以及撒在分身上至少价值1500gp的红宝石粉，作为该法术的耗材</t>
  </si>
  <si>
    <t>水银和磷，以及总计价值至少1000gp的钻石和蛋白石粉末，作为该法术的耗材</t>
  </si>
  <si>
    <t>一个价值至少5gp的圣徽</t>
  </si>
  <si>
    <t>系结本源</t>
  </si>
  <si>
    <t>一卷至少价值250金币的铂金丝线，在施法时被消耗</t>
  </si>
  <si>
    <t>Tether Essence</t>
  </si>
  <si>
    <t>一根稻草</t>
  </si>
  <si>
    <t>龙类变形术</t>
  </si>
  <si>
    <t>一个龙形小雕像，价值至少500gp</t>
  </si>
  <si>
    <t>Draconic Transformation</t>
  </si>
  <si>
    <t>亚比达奇凋死术</t>
  </si>
  <si>
    <t>一小块海绵</t>
  </si>
  <si>
    <t>Abi-Dalzim's Horrid Wilting</t>
  </si>
  <si>
    <t>专注,至多24小时</t>
  </si>
  <si>
    <t>一撮铁粉或铁屑</t>
  </si>
  <si>
    <t>嫌恶_关怀术</t>
  </si>
  <si>
    <t>一小块醋浸湿的明矾（嫌恶）；一滴蜂蜜（关怀）</t>
  </si>
  <si>
    <t>一枚至少价值1,000gp的钻石以及被克隆生物1立方寸的肉，作为该法术的耗材。外加一副至少价值2,000gp的带密封功能的大容器，其尺寸必须足以存放一个中型生物，例如一个巨大的瓮或灵柩，或是立在地上充满浆状物质的卵囊，又或者充满盐水的水晶棺</t>
  </si>
  <si>
    <t>自身(5里半径)</t>
  </si>
  <si>
    <t>点燃的焚香和一点混有泥土和木屑的水</t>
  </si>
  <si>
    <t>暗黑星辰</t>
  </si>
  <si>
    <t>一小块碎玛瑙与一滴施法者的血液，在施法时被消耗</t>
  </si>
  <si>
    <t>Dark Star</t>
  </si>
  <si>
    <t>一撮泥土、一块岩石和一坨粘土</t>
  </si>
  <si>
    <t>一把粘土，水晶，玻璃或矿物球</t>
  </si>
  <si>
    <t>一个价值至少1,000gp的小圣物箱，内含一件圣遗物，例如某位圣者长袍上的一片碎布，或者某本宗教典籍中的一张羊皮纸</t>
  </si>
  <si>
    <t>一滴沥青与一滴水银的混合物</t>
  </si>
  <si>
    <t>一颗价值至少500GP的钻石，作为此法术的耗材</t>
  </si>
  <si>
    <t>崩坏现实</t>
  </si>
  <si>
    <t>一个水晶棱镜</t>
  </si>
  <si>
    <t>Reality Break</t>
  </si>
  <si>
    <t>一块猫眼石和一团明火</t>
  </si>
  <si>
    <t>一对相连的银戒指</t>
  </si>
  <si>
    <t>专注,至多6轮</t>
  </si>
  <si>
    <t>为此法术影响的每个生物准备一枚至少价值1000gp的红锆石jacinth，以及一根做工精细，至少价值100gp的银棒</t>
  </si>
  <si>
    <t>灾祸之刃</t>
  </si>
  <si>
    <t>Blade of Disaster</t>
  </si>
  <si>
    <t>一根蜂鸟的羽毛</t>
  </si>
  <si>
    <t>一枚价值至少5,000gp的钻石</t>
  </si>
  <si>
    <t>一张写有对目标详细描述的牛皮纸或者一个与目标相似的小雕像，以及对应所选择法术版本的特殊材料，其价值为对应目标每粒生命骰至少花费500gp</t>
  </si>
  <si>
    <t>一小块价值至少500GP的精金，作为本法术的耗材</t>
  </si>
  <si>
    <t>一个毛毛虫的茧</t>
  </si>
  <si>
    <t>饕餮虚空</t>
  </si>
  <si>
    <t>1000尺</t>
  </si>
  <si>
    <t>一只铁制的小九芒星</t>
  </si>
  <si>
    <t>Ravenous Void</t>
  </si>
  <si>
    <t>至少价值1500gp的玉环，并在施法时戴在头上</t>
  </si>
  <si>
    <t>时光蹂躏</t>
  </si>
  <si>
    <t>一个装满了钻石粉尘的沙漏，其价值至少为5000金币, 会在施法时消耗</t>
  </si>
  <si>
    <t>Time Ravage</t>
  </si>
  <si>
    <t>一滴水银，一团阿拉伯胶以及一缕烟</t>
  </si>
  <si>
    <t>少量圣水和至少价值25000gp的钻石，作为该法术的耗材</t>
  </si>
  <si>
    <t>强酸_小瓶</t>
  </si>
  <si>
    <t>你可以用一个动作将这小瓶液体泼溅到你身边 5尺内的一个生物身上，或是将小瓶投到至多 20 尺远的地方，并利用冲击打破它。两种情况都可以视为对一个生物或物件发动一次远程攻击，并将强酸视为一件临时武器。命中时，目标受到 2d6点强酸伤害。</t>
  </si>
  <si>
    <t>炽火胶_扁瓶</t>
  </si>
  <si>
    <t>一种粘稠的流体，其一旦接触空气就会引起自燃。你可以用一个动作将这小瓶液体投到至多20尺远的地方，并利用冲击打破它。这个动作视为对一个生物或物件发动一次远程攻击，并将炽火胶视为一件临时武器。命中时，目标在它每回合开始时受到1d4点火焰伤害。被命中生物可以使用动作进行一次DC10的敏捷检定，以扑灭火焰来结束该伤害效应。</t>
  </si>
  <si>
    <t>箭</t>
    <phoneticPr fontId="49" type="noConversion"/>
  </si>
  <si>
    <t>吹矢</t>
    <phoneticPr fontId="49" type="noConversion"/>
  </si>
  <si>
    <t>弩矢</t>
    <phoneticPr fontId="49" type="noConversion"/>
  </si>
  <si>
    <t>投石索弹丸</t>
    <phoneticPr fontId="49" type="noConversion"/>
  </si>
  <si>
    <t>0.04gp</t>
  </si>
  <si>
    <t>子弹</t>
    <phoneticPr fontId="49" type="noConversion"/>
  </si>
  <si>
    <t>采用复兴时期物品数据，如需使用现代弹药请自行填写。</t>
    <phoneticPr fontId="49" type="noConversion"/>
  </si>
  <si>
    <t>3gp</t>
    <phoneticPr fontId="49" type="noConversion"/>
  </si>
  <si>
    <t>抗毒剂_小瓶</t>
  </si>
  <si>
    <t>喝下瓶内液体的生物在1小时内进行对抗对毒素的豁免检定时具有优势。它无法为不死生物或构装生物提供任何增益。</t>
  </si>
  <si>
    <t>奥术法器是一件用来引导奥术法术的特殊物品，它可以是一枚法球、一块水晶、一只权杖、一根特制法杖、一根魔杖般的长木条或是其它类似的物品。术士、邪术师或法师能将这样的物品用作施法法器。</t>
  </si>
  <si>
    <t>一个背包可以容纳1立方尺或30磅重的装备，你还可以将物品系在背包外面，例如一卷铺盖或是一捆绳索。</t>
    <phoneticPr fontId="49" type="noConversion"/>
  </si>
  <si>
    <t>滚珠_一包1000粒</t>
  </si>
  <si>
    <t>你可以用一个动作将这些小金属珠从袋子中洒出，并覆盖一片边长10尺的方形区域。穿过这片区域的生物必须进行一次DC10的敏捷豁免，豁免失败则摔至倒地。以半速穿过该区域的生物不需要进行该豁免。</t>
  </si>
  <si>
    <t>粗腰桶</t>
    <phoneticPr fontId="49" type="noConversion"/>
  </si>
  <si>
    <t>一个粗腰桶可以容纳40加仑的液体或4立方尺的固体。</t>
    <phoneticPr fontId="49" type="noConversion"/>
  </si>
  <si>
    <t>篮子可以容纳2立方尺或40磅重的物品。</t>
    <phoneticPr fontId="49" type="noConversion"/>
  </si>
  <si>
    <t>0.4gp</t>
  </si>
  <si>
    <t>0.5gp</t>
  </si>
  <si>
    <t>一组滑轮组，其中配有一根绳索绕过轮组中，其上还装着一个系物的钩子。滑轮组可以让你提起相当于你正常举重四倍重量的物件。</t>
  </si>
  <si>
    <t>书</t>
  </si>
  <si>
    <t>一本书可能写着诗歌、故事或是其他的内容。里面可能有关于某个特定地区的学识信息，也可能有侏儒语记载的机械图和笔记，或者任何其它能够用文字或图形表达的内容。一本载有法术的书则是一本法术书（见后文详述）。</t>
  </si>
  <si>
    <t>28gp</t>
  </si>
  <si>
    <t>水桶</t>
  </si>
  <si>
    <t>水桶可以容纳3加仑的液体或½立方尺的固体。</t>
    <phoneticPr fontId="49" type="noConversion"/>
  </si>
  <si>
    <t>0.05gp</t>
  </si>
  <si>
    <t>铁蒺藜_一包20枚</t>
  </si>
  <si>
    <t>你可以用一个动作将一包铁蒺藜撒出，并覆盖一块边长5尺的方形区域。任何进入该区域的生物必须进行一次DC15的敏捷豁免，豁免失败则该生物停止移动，并受到1点穿刺伤害。在该生物恢复至少1点生命值前，其步行速度将减少10尺。以半速穿过该区域的生物不需要进行该豁免。</t>
  </si>
  <si>
    <t>一只蜡烛可以为其身边5尺半径范围提供明亮光照，以及该范围外5尺的微光光照。蜡烛的照明效果可以持续1小时。</t>
  </si>
  <si>
    <t>0.01gp</t>
  </si>
  <si>
    <t>链条_10尺</t>
  </si>
  <si>
    <t>一根链条有10点生命值。它可以被一次成功的DC20力量检定挣断。</t>
  </si>
  <si>
    <t>粉笔_1块</t>
  </si>
  <si>
    <t>箱子</t>
    <phoneticPr fontId="49" type="noConversion"/>
  </si>
  <si>
    <t>一个箱子可以容纳12立方尺或300磅重的物品。</t>
    <phoneticPr fontId="49" type="noConversion"/>
  </si>
  <si>
    <t>一套攀爬工具包括特制的岩钉，靴子包头，手套和系带。你可以用一个动作来运用攀爬工具锚定自己；此时你不会从锚定处摔落超过25尺，且在解除锚定前无法从锚定处向外攀爬超过25尺。</t>
  </si>
  <si>
    <t>材料包是一个防水的皮质小小包，其内有间格用以放置各种材料成分以及其它你需要用以施展法术的特殊物品。某些有着特定价格的材料不包含在材料包中（详见相关法术的描述内容）。</t>
  </si>
  <si>
    <t>德鲁伊法器是一件用来引导德鲁伊法术的特殊物品。它可以是一枝槲寄生或冬青，一根用紫衫木或其它特殊木材制作的魔杖或节杖，一根从活树上折下的法杖或是一个包含神圣动物身上的羽毛、毛皮、骨头和牙齿组合成的图腾。德鲁伊能将这样的物品用作其施法的法器。</t>
  </si>
  <si>
    <t>木制法杖</t>
  </si>
  <si>
    <t>紫衫魔杖</t>
  </si>
  <si>
    <t>一套渔具工具包中，装有一根木杆、丝线、软木转轴、铅坠、天鹅绒饵以及窄眼网。</t>
  </si>
  <si>
    <t>一个扁瓶或大杯可以容纳1品脱的液体。</t>
    <phoneticPr fontId="49" type="noConversion"/>
  </si>
  <si>
    <t>0.02gp</t>
  </si>
  <si>
    <t>大锤</t>
    <phoneticPr fontId="49" type="noConversion"/>
  </si>
  <si>
    <t>一个医疗用小皮包中，装有绷带、药膏和夹板。医疗包可以使用十次。你可以使用一个动作，并花费一次使用次数来为一个生命值为0的生物稳定伤势，而无需进行相应的感知（医药）检定。</t>
  </si>
  <si>
    <t>枚圣徽是某个神袛或神系象征。它可能是一个描绘有代表一个神袛符号的护身符，相同的符号可能作为一个徽章被仔细地雕刻或镶嵌在一面盾牌上，也可能是一个盛有一块神圣遗物碎片的小盒。附录B中列举有多元宇宙众神的代表性徵记。牧师或圣武士能将圣徽用作其施法的法器。使用这些圣徽时，施法着必须将其握在手中，戴在身上可见处，或者将其装在盾上使用。</t>
  </si>
  <si>
    <t>圣水_扁瓶</t>
  </si>
  <si>
    <t>你可以用一个动作将这小瓶液体泼溅到你身边5尺范围内的一个生物身上，或是将小瓶投到至多20尺远的地方，并利用冲击打破它。两种情况都可以视为对一个生物或物件发动一次远程攻击，并将圣水视为一件临时武器。命中时，如果目标是一只邪魔或不死生物，则目标受到2d6点光耀伤害。
一名牧师或圣武士能通过主持一种特殊的仪式来创造圣水。该仪式花费1小时进行，且需要花费价值25gp的银粉，并消耗施法者一枚1环法术位。</t>
  </si>
  <si>
    <t>使用动作设置好该陷阱后，其形成一个锯齿钢圈，并在生物踏上其中央压板时闭合。陷阱由一根沉重的链条固定在某处，例如一棵树或是一根钉在地上的钉子。任何踩上压板的生物都必须进行一次DC13的敏捷豁免，豁免失败则受到1d4点穿刺伤害，并停止移动。在该生物从陷阱中解脱前，其移动范围都被限制在链条的长度内（通常为3尺）。一个生物可以使用动作进行一次DC13的力量检定，以解脱自己或其触及范围内的另一生物。每次豁免失败时，被困生物都将受到1点穿刺伤害。</t>
  </si>
  <si>
    <t>墨水_1盎司瓶</t>
  </si>
  <si>
    <t>爬梯_10尺</t>
  </si>
  <si>
    <t>0.1gp</t>
  </si>
  <si>
    <t>一只油灯可以为其身边15尺半径范围提供明亮光照，以及该范围外30尺的微光光照。点亮的油灯每6小时消耗一扁瓶灯油（1品脱）。</t>
  </si>
  <si>
    <t>一盏牛眼提灯可以为前方60尺的锥状区域提供明亮光照，以及该范围外60尺的微光光照。点亮的牛眼提灯每6小时消耗一扁瓶的灯油（1品脱）。</t>
  </si>
  <si>
    <t>一盏附盖提灯可以为其身边30尺半径范围提供明亮光照，以及该范围外30尺的微光光照。点亮的提灯每6小时消耗一扁瓶的灯油（1品脱）。你可以使用一个动作放下盖子，使其光照减弱为5尺范围的微光照明。</t>
  </si>
  <si>
    <t>每把锁与一把钥匙相配套。不使用钥匙时，一个具有盗贼工具熟练项的生物可以通过一次成功的DC15敏捷检定撬开这把锁。你的DM可以决定是否能够用更高的价格购买更好的锁。</t>
  </si>
  <si>
    <t>一枚用以详细观察小物件的透镜。生火时，你也可以用它代替燧石与铁片。使用放大镜聚焦光来生火需要如同阳光般明亮的光照、可用的引火物质以及约5分钟的时间来完成点燃作业。进行估价或是检查某个细小或具有精细细节物件时所作的属性检定可以使用放大镜来获得优势。</t>
  </si>
  <si>
    <t>100gp</t>
  </si>
  <si>
    <t>这些金属束具可以困住一只小型或中型体型的生物。解开镣铐必须成功通过一次DC20的敏捷检定。破坏镣铐则必须成功通过一次DC20的力量检定。每套镣铐配有一把对应的钥匙。不用钥匙时，一个具有盗贼工具熟练项的生物可以通过一次成功的DC15敏捷检定撬开镣铐的锁。镣铐具有15点生命值。</t>
  </si>
  <si>
    <t>一个野炊工具锡盒包括一只茶杯和一些简易餐具。盒子被夹在一起，并且其中一面能够被用作一只煎锅而另一面则可以作为一只碟子或是浅碗。</t>
  </si>
  <si>
    <t>0.2gp</t>
  </si>
  <si>
    <t>灯油_扁瓶</t>
  </si>
  <si>
    <t>灯油通常装在一个1品脱大小的陶土扁瓶中。你可以用一个动作将扁瓶中的灯油泼溅到你身边5尺范围内的一个生物身上，或是将扁瓶投到至多20尺远的地方，并利用冲击打破它。两种情况都可以视为对一个生物或物件发动一次远程攻击，并将灯油视为一件临时武器。命中时，目标被灯油洒满全身。如果目标在灯油挥发前（1分钟后）受到任何火焰伤害，则目标因燃烧的灯油受到额外5点火焰伤害。你还可以将一扁瓶灯油泼在地面上，以覆盖一块边长5尺且保持水平的方形区域。点燃该区域后，灯油将持续燃烧2轮，并对任何进入该区域或在该区域结束其回合的生物造成5点火焰伤害。同一生物每回合只受该伤害作用一次。</t>
  </si>
  <si>
    <t>纸_每张</t>
  </si>
  <si>
    <t>羊皮纸_每张</t>
  </si>
  <si>
    <t>香水_小瓶</t>
  </si>
  <si>
    <t>基础毒药_小瓶</t>
  </si>
  <si>
    <t>你可以用一个动作将小瓶中的毒药涂于一把挥砍或穿刺武器上，或者涂在至多三发弹药上。涂毒武器或弹药命中时，被命中生物必须进行一次DC10的体质豁免，豁免失败则受到1d4的毒素伤害。涂毒后，武器的毒性效果可以维持1分钟。</t>
  </si>
  <si>
    <t>长杆_10尺</t>
  </si>
  <si>
    <t>一个铁壶可以容纳1加仑的液体。</t>
    <phoneticPr fontId="49" type="noConversion"/>
  </si>
  <si>
    <t>一种红色的魔力药剂，可以使饮用者恢复2d4+2的生命值。喝药或者喂人喝药需要使用一个动作。</t>
  </si>
  <si>
    <r>
      <t>一个布料或皮革制成的小包可以装20发弹丸或50发吹矢，或者其他东西。用来装施法材料成分的小包则成为材料包（详见前文）。一个小包最多可以容纳</t>
    </r>
    <r>
      <rPr>
        <sz val="11"/>
        <color theme="1"/>
        <rFont val="Tahoma"/>
        <family val="2"/>
      </rPr>
      <t>⅕</t>
    </r>
    <r>
      <rPr>
        <sz val="11"/>
        <color theme="1"/>
        <rFont val="宋体"/>
        <family val="3"/>
        <charset val="134"/>
        <scheme val="minor"/>
      </rPr>
      <t>立方尺或6磅重的物体。</t>
    </r>
    <phoneticPr fontId="49" type="noConversion"/>
  </si>
  <si>
    <t>你可以使用一具便携式攻城锤破门。此时你破门的力量检定具有 +4加值。如果另一名角色从旁协助，则你破门的力量检定因此而具有优势。</t>
  </si>
  <si>
    <t>4gp</t>
  </si>
  <si>
    <t>口粮_1日份</t>
  </si>
  <si>
    <t>麻绳_50尺</t>
  </si>
  <si>
    <t>丝绳_50尺</t>
  </si>
  <si>
    <t>麻袋</t>
  </si>
  <si>
    <t>一个麻袋可以容纳最多1立方尺或30磅重的装备。</t>
    <phoneticPr fontId="49" type="noConversion"/>
  </si>
  <si>
    <t>一架天平包括一个小的衡平、一对托盘和一套共重2磅的砝码。它可以用来称量小物件的精细重量（比如稀有贵金属或贸易货物），以便估价。</t>
  </si>
  <si>
    <t>哨子</t>
  </si>
  <si>
    <t>长铁钉_10根</t>
  </si>
  <si>
    <t>从望远镜中观察到的物品能放大其两倍大小。</t>
  </si>
  <si>
    <t>1000gp</t>
  </si>
  <si>
    <t>一个简单轻便的双人帆布帐篷。</t>
  </si>
  <si>
    <t>一个小巧的盒子里装有燧石，铁片和火绒（通常是在轻油中浸过的干布），是一种常用的生火工具。使用火绒盒点燃一支火炬（或其他燃料物质外露的物件）需要使用一个动作，而用来点燃其他物品则需要花费1分钟。</t>
  </si>
  <si>
    <t>一支火炬可以为其身边20尺半径范围提供明亮光照，以及其外20尺范围的微光光照。火炬的照明效果可以持续1小时。你还可以使用一支燃烧的火炬发动一次近战攻击，命中时，该攻击可以造成1点火焰伤害。</t>
  </si>
  <si>
    <t>一个小瓶可以容纳最多4盎司的液体。</t>
    <phoneticPr fontId="49" type="noConversion"/>
  </si>
  <si>
    <t>一个水袋可以容纳最多4品脱的液体。</t>
    <phoneticPr fontId="49" type="noConversion"/>
  </si>
  <si>
    <t>炼金工具可以用来制作有用的化合物，如强酸或炽火胶。
组件Components。炼金工具包括两只玻璃烧杯、一个铁架台、一根玻璃搅拌棒、一个小研钵和药杵，以及一袋常用炼金术材料，包括盐、铁粉、纯净水。
奥秘Arcana。炼金工具熟练项可以让你在进行鉴定药水或类似物质的奥秘检定中获得更多信息。
调查Investigation。当你调查一个区域的线索时，如果该区域曾使用过任何化合物或其他物质，炼金工具熟练项将使你对此具有额外的洞察力。
道具制作Alchemical Crafting。 你可以使用这套工具熟练制作炼金道具。角色可以花钱收集原材料，每磅材料花费50金币。DM可以允许角色使用指定技能进行检定时具有优势。
作为长休的一部分，你可以使用炼金工具制作一份剂量的强酸、炽火胶、抗毒剂、油、香水或者香皂。从你所携带的原材料总价值中减去所制作物品价值的一半。
炼金工具Alchemist’s Supplies 
用途   DC
制造一股浓烟 10
鉴定一瓶药水 10
鉴定一种物质 15
点火 15
中和强酸 20</t>
    <phoneticPr fontId="49" type="noConversion"/>
  </si>
  <si>
    <t>酿酒即是酿造酒精饮料。除了酿酒以外，这套程序还能用于蒸馏淡水。麦酒的发酵需要等待好几周时间，但酿造工作只需要几个小时。
组件Components。酿酒工具包括一个大玻璃罐、一些酵母、一根虹吸管，以及几尺长的管子。
历史History。酿酒工具熟练项能让你在进行与酒大有关联的事件的智力（历史）检定时有更多的了解。
医药Medicine。当你治疗酒精中毒的病人，或你能使用酒精来减轻疼痛时，酿酒工具熟练项会给你更多的启示。
游说Persuasion。酒逢知己千杯少。酿酒工具熟练项能让你向他人提供私酿的美酒，借此改善关系。
饮用水Potable Water。你的酿造知识允许你用非饮用水蒸馏纯净水。你在一次长休中可以蒸馏出6加仑的淡水，而一次短休则只有1加仑。
酿酒工具Brewer’s Supplies
用途   DC
检查饮品中的毒素或杂质 10
鉴定酒精饮料 15
抵抗酒精的影响 20</t>
    <phoneticPr fontId="49" type="noConversion"/>
  </si>
  <si>
    <t>书法将写字升华为富有美感的艺术形式。
书法家用独特的风格创作出赏心悦目的文字。他们的工具也提供了验证文稿真伪的能力，前提是书法家要花费数个小时来不断临摹文稿，以掌握其书写风格和结构特征。
组件Components。书法工具包括墨水、一打羊皮纸，以及三支羽毛笔。
奥秘Arcana。虽然书法对于破解魔法密文来说没什么作用，但是书法工具熟练项至少能让你判断出这堆鬼画符的作者是谁。
历史History。该工具熟练项可以在进行分析或调查文本内容的成功检定中获得好处，例如古代文稿、卷轴，还有包括石头上的符文、壁画中的内容或者诸如此类的的其他文本。
解读藏宝图Decipher Treasure Map。该工具熟练项意味着你具有解读地图的专业知识。你可以进行一次智力检定以确定地图的年代，地图是否包含任何隐藏的信息，或类似的内容。
书法工具Calligrapher’s Supplies
用途   DC
判断非魔法手迹的作者 10
理解作者的心态 15
现场伪造文稿 15
伪造签名 20</t>
    <phoneticPr fontId="49" type="noConversion"/>
  </si>
  <si>
    <t>木工技能允许角色打造木结构的物品。木匠可以建造房屋、棚屋、木制橱柜或类似的物品。
组件Components。木匠工具包括一把锯子、一把锤子、一些钉子、一把短斧、一把角尺、一把直尺，一把扁斧，一具木工刨和一把凿子。
历史History。该工具熟练项有助于你分辨木结构建筑和其他大型木制品的用途和来历。
调查Investigation。当你调查木结构建筑时具有额外的洞察力，因为你深谙营造法则，可以发现隐藏的区域。
察觉Perception。你可以发现木墙或地板的不自然之处，从而更容易找到陷阱门和秘密通道。
隐匿Stealth。你可以很快地判断出木地板上的薄弱点，这样就可以更容易地避开，以免发出嘎吱声。
加固Fortify。消耗原材料并进行1分钟的加工，你可以使一扇门或窗更难强行打开。打开门窗的DC值增加5点。
临时住所Temporary Shelter。作为长休的一部分，你可以建造一个棚屋或类似的遮蔽物，使你的团队能在一个阴凉干燥的环境中休息。因为它只是草草搭建起来的临时住所，所以在1d3天后便会倒塌。
木匠工具Carpenter’s Tools
用途   DC
建造简单的木结构 10
设计复杂的木结构 15
在木墙上找到一个薄弱点 15
撬门 20</t>
    <phoneticPr fontId="49" type="noConversion"/>
  </si>
  <si>
    <t>8gp</t>
  </si>
  <si>
    <t>使用制图工具，您可以创建精确的地图做旅行为自己和那些来找你更容易。这些地图可以从山脉的大规模描述到显示地下城平面布局的图表。
组件Components。制图工具包括一支鹅毛笔、墨水、羊皮纸，一副圆规、卡尺，和一把直尺。
奥秘Arcana、历史History、宗教Religion。当你使用这些技能时，你可以利用有关于地图和定位的知识来挖掘更详细的信息。例如，你可以在发现一张地图中的隐藏信息，确定地图绘制的年代以判断地理特征从那时起是否发生了变化，等等。
自然Nature。你对自然地理的熟悉使你更容易回答或解释有关于你周遭地形的问题。
求生Survival。你拥有的地理知识能帮你找到走出荒野的道路，判断有可能找到村庄或城镇的方向，以避免迷路。你研究过大量具有共通模式的地图，以至于对贸易路线的演变和定居点的分布格局了然于心。
绘制地图Craft a map。旅行时，除了参加其他活动外，你还可以画一张地图。
制图工具Cartographer’s Tools
用途   DC
确定地图的年代和来历 10
估测地标的方向和距离 15
辨别地图的真伪 15
填补地图上缺漏的部分 20</t>
    <phoneticPr fontId="49" type="noConversion"/>
  </si>
  <si>
    <t>虽然鞋匠的生意对冒险者来说似乎太卑微了，但一双好鞋子却能在崎岖的荒野和致命的地牢帮上大忙。
组件Components。鞋匠的工具包括一把锤子、一支锥子、一柄小刀、一个鞋架、一把切刀、备用皮革和线。
奥秘Arcana、历史History。你对鞋子的知识有助于你识别魔法靴的魔法属性或这些物品的历史。
调查Investigation。鞋子能透露出的秘密远比你想象的多。你可以通过检查鞋子的磨损和污迹来推断出某人最近到过什么样的地方。你的修鞋经验能让你更好地判断出导致鞋子磨损的原因。
修鞋Maintain Shoes。作为长休的一部分，你可以保养同伴的鞋子。至多六个由你选定的穿着你修补过的鞋子的生物，接下来的24小时内，在需要进行对抗力竭Exhaustion状态的豁免检定前可以旅行至多10小时。
秘密夹层Craft Hidden Compartment。通过8小时的工作，你可以在一双鞋子内做出一个秘密夹层。这个夹层可以容纳一件至多长3寸、宽1寸的物品。你进行一次附带工具熟练加值的智力检定，以确定寻找夹层所需的智力（调查）检定DC值。
鞋匠工具Cobbler’s Tools
用途   DC
判断一双鞋子的年龄和来历 10
找出鞋后跟的秘密夹层 15</t>
    <phoneticPr fontId="49" type="noConversion"/>
  </si>
  <si>
    <t>冒险可是个辛苦活儿。如果能和一位厨师一起旅行，你的伙食可比整天啃饼干嚼果脯好多了。
组件Components。厨师工具包括一个金属锅、餐刀、餐叉、一柄搅拌勺，和一柄长柄勺。
历史History。你对厨艺的了解允许你品味从餐饮习惯中透露出来的社会模式。
医药Medicine。进行治疗时，你可以改善药物的口感，使其不那么难以下咽。
求生Survival。寻找食物时，你可以把他人认为不能吃的玩意儿处理成可食用的东西。
准备饭菜Prepare Meals。 作为短休的一部分，你可以准备一顿美味的饭菜，帮助同伴恢复体力。在短休时，你和至多五个你所选择的生物每消耗一枚生命骰就可以多恢复1点生命值，只要你有机会使用你的厨师工具并且食材充足。
厨师工具Cook's Utensils 
用途   DC
稍微改善伙食 10
做一顿同样的饭 10
检验饭菜中的毒素或杂质 15</t>
    <phoneticPr fontId="49" type="noConversion"/>
  </si>
  <si>
    <t>具有玻璃匠工具熟练项的人不仅知道如何将玻璃吹制成形，还懂得生产玻璃制品的专业知识。
组件Components。这些工具包括一支吹管、一个小搓板、一些模具，和几把工钳。此外你还需要一个热源才能吹制玻璃。
奥秘Arcana、历史History。你的玻璃制造技术有助于检查玻璃制品，例如在藏宝库中发现的药剂瓶或玻璃物品。例如，你可以研究玻璃药瓶受到内容物的影响，以判断药水的效果。（药水可能留有残液、使玻璃变形或造成色斑。）
调查Investigation。当你调查一个拥有碎玻璃或玻璃制品等线索的区域时，你的知识能够提供帮助。
发现弱点Identify Weakness。通过1分钟的研究，你能找出玻璃制品的薄弱点。击打该物件的薄弱点能够造成双倍的伤害。
玻璃匠工具Glassblower’s Tools
用途   DC
判断玻璃的产地 10
判断一件玻璃制品曾经装过什么 20</t>
    <phoneticPr fontId="49" type="noConversion"/>
  </si>
  <si>
    <t>珠宝匠工具的培训包括加工珠宝的基本技术，以及鉴定宝石的专业知识。
组件Components。珠宝匠工具包括一把小锯、小锤、锉刀、钳子，和镊子。
奥秘Arcana。珠宝匠工具熟练项让你能够了解各种宝石的魔法用途。这一能力在你对宝石或镶嵌宝石的物品进行奥秘检定时很有用处。
调查Investigation。当你检查珠宝类物件时，珠宝匠工具熟练项有助于你发现可能存在的线索。
鉴定宝石Identify Gems。 你能很快鉴定出宝石的种类和价值。
珠宝匠工具Eweler’s Tools 
用途   DC
宝石外观加工 15
鉴定宝石历史 20</t>
    <phoneticPr fontId="49" type="noConversion"/>
  </si>
  <si>
    <t>皮匠工具 Leatherworker's Tools
皮革加工的知识还包括兽皮特性、皮革盔甲和类似物品的学识。
组件Components。皮匠工具包括一把小刀、一柄小木槌、一台磨边机、一个打孔器、一个纺锤，以及一些皮革碎料。
奥秘Arcana。皮匠工具熟练项在你检查皮制魔法物品，如鞋子和部分斗篷时提供额外的洞察力。
调查Investigation。当你研究皮制物品或与之相关的线索时，你具有额外的洞察力，因为你对于皮革的专业知识能够发现他人忽略的细节。
皮革鉴定Identify Hides。 当你检查皮革物品时，你能分辨出皮料的种类以及运用的特殊工艺。例如，你能分辨出矮人制革工艺与半身人制革工艺的不同。
皮匠工具Leatherworker’s Tools 
用途   DC
皮革外观加工 10
检定皮革制品的历史 20</t>
    <phoneticPr fontId="49" type="noConversion"/>
  </si>
  <si>
    <t>泥瓦匠工具允许你制造石质或砖制建筑。
组件Components。泥瓦匠工具包括泥刀、锤子、凿子、刷子、和角尺。
历史History。你的专业知识有助于你确定一座石质建筑的建造日期和用途，以及可能是谁建造了它。
调查Investigation。当你检查石质建筑中的区域时，你具有额外的洞察力。
察觉Perception。你可以在石墙或地板上发现不规则的地方，从而更容易找到陷阱门和秘密通道。
拆迁Demolition。你对砖石结构的知识可以让你发现墙壁的薄弱点。你的武器攻击会对这种建筑造成双倍伤害。
泥瓦匠工具Mason’s Tools
用途   DC
在石墙上开个小洞 10
找出石墙的薄弱点 20</t>
    <phoneticPr fontId="49" type="noConversion"/>
  </si>
  <si>
    <t>画家工具熟练项代表了你的素描和绘画能力。你也会对艺术史有所了解，这有助于你鉴赏艺术作品。
组件Components。画家工具包括画架、画布、颜料、画笔、炭笔，还有调色板。
奥秘Arcana、历史History、宗教Religion。你的专业知识有助于你了解任何与艺术有关的知识，比如一幅画作的魔法属性或在地下城中发现的奇怪壁画的来历。
调查Investigation、察觉Perception。当你检查一幅画作或类似的图画类艺术作品时，你的绘画功底可以给你额外的洞察力。
作画Painting and Drawing。作为短休或长休的一部分，你可以创作一件简单的艺术品。虽然你的画作可能不够精细，但你可以展现出一副图像或场景，或者快速还原出你所见过的一幅艺术品。
画家工具Painter’s Supplies
用途 DC
画一幅精确的肖像画 10
创作带有隐藏信息的画作 20</t>
    <phoneticPr fontId="49" type="noConversion"/>
  </si>
  <si>
    <t>陶匠工具用于制造各种各样的陶器，最典型的是陶罐和类似的器皿。
组件Components。陶匠工具包括穿刺针、骨架刀、刮刀、小刀，以及卡尺。
历史History。你的专业知识有助于你鉴定陶器，包括生产时间，以及它们可能的产地或产地文化。
调查Investigation、察觉 Perception。你在检查陶器时具有额外的洞察力，通过一些小细节来发现他人忽略的线索。
复原Reconstruction。通过检查陶器碎片，你可以推断出该物件原本、完整的形状及其可能的用途。
陶匠工具Potter’s Tools
用途   DC
确认一件陶器装过什么 10
制作一个可用的陶罐 15
找出一件陶器的薄弱点 20</t>
    <phoneticPr fontId="49" type="noConversion"/>
  </si>
  <si>
    <t>铁匠工具允许你加工金属，加热它来塑性变形、修复损坏，或者把钢锭加工成有用的物品。
组件Components。铁匠工具包括锤子、钳子、木炭、破布和磨刀石。
奥秘Arcana、历史History。当你检查金属物体，比如武器时，你的专业知识会给你额外的洞察力。
调查Investigation。在调查护甲、武器或其他金属制品时，你可以发现他人可能会忽略的线索并作出推论。
修复Repair。当你能够使用工具并且具备一处足以使金属热塑变形的明火时，你每花费1个小时的工作时间，就能为一件损坏的金属制品恢复10点生命值。
铁匠工具Smith’s Tools
用途   DC
磨刀 10
修复一套护甲 15
熔解非魔法金属物件 15</t>
    <phoneticPr fontId="49" type="noConversion"/>
  </si>
  <si>
    <t>修补工具用于修复各种普通物件。虽然你不能用修补工具制造很多东西，但你可以缝补衣服、磨砺锋刃，或是修补好破掉的链甲。
组件Components。修补工具包括各种手工用品、针线、磨刀石、一些零碎的布料和皮料，以及一小壶胶。
历史History。你可以确定物件的年龄和来历，即使你只剩下几块原件的碎片。
调查Investigation。当你检查一个损坏的物件时，你能推测出损坏的原因及时间。
修复Repair。你每花费1个小时的工作时间，就能为一件损坏的物件恢复10点生命值。你必须具有与之对应的修补材料。对于金属制品，你还需要具备一处足以使金属热塑变形的明火。
修补工具Tinker’s Tools 
用途   DC
临时修复一件报废设备 10
仅用一半时间修补物品 15
利用废料制造临时物品 20</t>
    <phoneticPr fontId="49" type="noConversion"/>
  </si>
  <si>
    <t>织布工具可以让你织布，并把它做成衣服。
组件Components。织布工具包括针线和一些碎布。你知道怎么操作织布机，但这种设备太大了，你无法携带。
奥秘Arcana、历史History。你的专业知识会让你在检查纺织品时具有额外的洞察力，包括斗篷和长袍。
调查Investigation。当你检查挂毯、布饰、服装或其他纺织品时，你的专业知识能让你发现他人可能会忽略的线索并作出推论。
缝补Repair。你可以在短休中修复一件损坏的纺织品。
制衣Craft Clothing。如果你有足够的布匹和线，你可以在长休中为一个生物制作一套服装。
织布工具Weaver‘s Tools
用途 DC
用废布做些小东西 10
打补丁 10
定制服装 15</t>
    <phoneticPr fontId="49" type="noConversion"/>
  </si>
  <si>
    <t>木雕工具允许你加工负责的木制品，如木制令牌或箭杆。
组件Components。木雕工具包括是一把小刀、一把凿子，以及一把小锯子。
奥秘Arcana、历史History。当你检查木制品，如雕像或箭时，你的专业知识让你具有额外的洞察力。
自然Nature。当你检查树木时，你的知识让你具有额外的洞察力。
修复Repair。你可以在短休中修复一件损坏的木制品。
制箭Craft Arrows。你可以在短休中制作至多五支箭。在长休中你能做二十支。前提是你必须有足够的木料。
木雕工具Woodcarver’s Tools
用途 DC
制作一个小木雕 10
在木头上雕刻复杂花纹 15</t>
    <phoneticPr fontId="49" type="noConversion"/>
  </si>
  <si>
    <t>对于伪装者来说，易容工具是必不可少的，它可以让使用者轻易地改头换面。
组件Components。易容工具包括化妆品、染发剂、小道具，以及几套衣服。
欺瞒Deception。在某些情况下，一副伪装可以提高你撒谎的能力。
恐吓Intimidation。合适的伪装会让你看起来更可怕，不管你是想假扮成瘟疫患者来吓跑路人或是装成暴徒以恐吓一帮恶棍。
表演Performance。巧妙的化妆可以提升观众的体验，前提是化妆要设计得当，能够唤起想要的反应。
说服Persuasion。人们往往会信任穿制服的人。如果你伪装成一个权威人物，你与他人的交涉会更有说服力。
易容Create Disguise。你可以在长休中制造一套伪装物品。完成后你可以花费1分钟时间来变装。为了避免过度的关注，你一次只能携带一套伪装，除非你有一个背包或类似的方法来隐藏它们。每套伪装重1磅。
在其他时候，需要10分钟来制作一套适当修改外观的的伪装，而大幅改变外观则需要30分钟。
易容工具Disguise Kit
用途   DC
遮盖伤疤或特征性标记 10
识破他人的伪装 15
易容成另一个类人生物 20</t>
    <phoneticPr fontId="49" type="noConversion"/>
  </si>
  <si>
    <t>文书伪造工具通常用于伪造一份信用文书和模仿某人的印章或签名。
组件Components。文书伪造工具包括几种不同类型的墨水、各种羊皮纸和普通纸、几支鹅毛笔、印章和封蜡、金银叶饰，以及伪造蜡封的小型雕刻工具。
奥秘Arcana。文书伪造工具与奥秘技能搭配可以鉴定一件魔法物品的真伪。
欺瞒Deception。一份精心伪造的文书，比如贵族血统证明或管制区通行证，可以让你的谎言更有可信度。
历史History。文书伪造工具与你的历史知识相结合，可以让你更轻易地伪造历史文献或鉴定文献的真伪。
调查Investigation。当你检查一个物件时，文书伪造工具熟练项有助于你判断该物件是如何制成的，以及它的真伪。
其他工具Other Tools。 掌握其他工具的用法可以提高你所制赝品的可信度。例如，同时具有文书伪造工具和制图工具熟练项可以制造一份假地图。
快速伪造Quick Fake。 你在一次短休中可以伪造篇幅不超过1页的假文书。而一次长休中，你至多可以制造4页的文书。你进行一次附带文书伪造工具熟练加值的智力检定，以决定他人识破赝品的智力（调查）检定DC值。
文书伪造工具Forgery Kit 
用途   DC
伪造笔迹 15
伪造蜡封 20</t>
    <phoneticPr fontId="49" type="noConversion"/>
  </si>
  <si>
    <t>骰子_整副</t>
    <phoneticPr fontId="49" type="noConversion"/>
  </si>
  <si>
    <t>龙棋_整套</t>
    <phoneticPr fontId="49" type="noConversion"/>
  </si>
  <si>
    <t>纸牌_整副</t>
    <phoneticPr fontId="49" type="noConversion"/>
  </si>
  <si>
    <t>三龙牌_整副</t>
    <phoneticPr fontId="49" type="noConversion"/>
  </si>
  <si>
    <t>草药工具熟练项允许你辨认植物并安全地提取有效成分。
组件Components。草药工具包括装药材的袋子、采集草药的剪钳和皮手套、研钵和药杵，以及几个玻璃瓶。
奥秘Arcana。你对药材的性味归经和功能主治的了解，使你在对植物进行魔法研究或试图鉴定药剂时具有额外的洞察力。
调查Investigation。当你调查一个长有植物的区域时，草药工具熟练项能帮助你发现那些其他人可能会忽视的细节或线索。
医药Medicine。你对草药医学的掌握有助于提高你使用药用植物治疗疾病和创伤的水平。
自然Nature、求生Survival。当你在野外旅行时，你的草药技能有助于辨认植物和找到一般人不知道的食物来源。
辨认植物Identify Plants。仅仅通过外观和气味，你就能快速辨认出大部分植物。
草药工具Herbalism Kit
用途   DC
发现植物 15
辨别药剂 20</t>
    <phoneticPr fontId="49" type="noConversion"/>
  </si>
  <si>
    <t>6gp</t>
  </si>
  <si>
    <t>35gp</t>
  </si>
  <si>
    <t>3gp</t>
  </si>
  <si>
    <t>12gp</t>
  </si>
  <si>
    <t>领航工具熟练项可以帮助你根据星象来导航。它还帮助你研究海图和地图，同时增强你的方向感。
组件Components。导航的工具包括六分仪、罗盘、卡尺、直尺、羊皮纸、墨水和鹅毛笔。
生存Survival。领航工具的知识有助于避免迷路，也能让你推断最有可能出现道路和定居点的位置。
观测Sighting。通过仔细测量，你可以确定你在航海图上的位置以及当前的时间。
领航工具Navigator’s Tools
用途   DC
地图导航 10
海图定位 15</t>
    <phoneticPr fontId="49" type="noConversion"/>
  </si>
  <si>
    <t>对于盗贼、刺客还有其他喜欢干些见不得人的勾当的人来说，制毒工具可谓是倍受青睐。它允许你利用各种材料制取毒素并使用它们。你的毒药学知识也有助于解毒。
组件Components。制毒工具包括玻璃瓶、研钵和杵、一些化学制剂，和一根玻璃搅拌棒。
历史History。你的毒药培训有助于你回想起有关于毒药的事件。
调查Investigation、察觉Perception。你的毒药学知识教会了你如何小心地处理这些物质，当你检查有毒物品或搜索与毒药有关的事件线索时具有优势。
医药Medicine。当你医治中毒的患者时，你的知识会让你知道如何为病人提供最好的处理。
自然Nature、求生Survival。你能分辨有毒的动植物。
操作毒药Handle Poison。你的熟练项允许你安全地操作或使用毒药，而不会令你自身暴露在毒素环境中。
制毒工具Poisoner’s Kit
用途   DC
辨认有毒物件 10
鉴定毒素效果 20</t>
    <phoneticPr fontId="49" type="noConversion"/>
  </si>
  <si>
    <t>专用于撬锁和解除陷阱的盗贼工具，也许是冒险者们最常用的工具了。熟练掌握这些工具还可以了解陷阱和锁的基本知识。
组件Components。盗贼工具包括一把小锉刀、一套开锁器、一面安装在金属柄上的小镜子、一把窄刃剪刀和一把镊子。
历史History。你对陷阱的知识能让你在回答关于以陷阱出名的名胜的问题具有额外的洞察力。
调查Investigation、察觉Perception。你在搜索陷阱时具有额外的洞察力，因为你已熟知各类陷阱的外在迹象。
设置陷阱Set a Trap。如同你可以解除陷阱一样，你也可以设置陷阱。你可以在短休中使用手头上的物品制造陷阱。你进行一次检定，检定的最终结果将作为他人发现或解除该陷阱的DC值。陷阱造成的伤害值取决于制造它所用的材料（例如毒药或武器），或等同于你检定结果的一半，这将由DM决定。
盗贼工具Thieves’ Tools
用途   DC
溜门撬锁 可变
解除陷阱 可变</t>
    <phoneticPr fontId="49" type="noConversion"/>
  </si>
  <si>
    <t>包括一个背包、一包1000粒的滚珠、10尺弦线、一个铃铛、五支蜡烛、一根撬棍、一把锤子、十支岩钉、一盏附盖提灯、两支扁瓶灯油、五天份口粮、一个火绒盒、和一个水袋。背包外还挂着50尺麻绳。</t>
  </si>
  <si>
    <t>优惠5gp</t>
  </si>
  <si>
    <t>无优惠</t>
  </si>
  <si>
    <t>包括一个背包、一根撬棍、一把锤子、十支岩钉、十支火把、一个火绒盒、十天份口粮和一只水袋。背包外还挂着50尺麻绳。</t>
  </si>
  <si>
    <t>优惠23gp</t>
  </si>
  <si>
    <t>包括一个背包、一卷铺盖、一套野炊工具、一个火绒盒、十支火把、十天份口粮和一个水袋。背包外还挂着50尺麻绳。</t>
  </si>
  <si>
    <t>优惠8gp</t>
  </si>
  <si>
    <t>包括一个背包、一本学科书、一瓶墨水、一只墨水笔、十张羊皮纸、一小袋沙和一把小刀。</t>
  </si>
  <si>
    <t>赌具描述</t>
    <phoneticPr fontId="49" type="noConversion"/>
  </si>
  <si>
    <t>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t>
    <phoneticPr fontId="49" type="noConversion"/>
  </si>
  <si>
    <t>乐器描述</t>
    <phoneticPr fontId="49" type="noConversion"/>
  </si>
  <si>
    <t>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t>
    <phoneticPr fontId="49" type="noConversion"/>
  </si>
  <si>
    <t>物品名称</t>
    <phoneticPr fontId="49" type="noConversion"/>
  </si>
  <si>
    <t>物品重量</t>
    <phoneticPr fontId="49" type="noConversion"/>
  </si>
  <si>
    <t>物品效果</t>
    <phoneticPr fontId="49" type="noConversion"/>
  </si>
  <si>
    <t>背包1（速查）</t>
    <phoneticPr fontId="49" type="noConversion"/>
  </si>
  <si>
    <t>莲源半身人</t>
    <phoneticPr fontId="49" type="noConversion"/>
  </si>
  <si>
    <t>逸闻学院</t>
    <phoneticPr fontId="49" type="noConversion"/>
  </si>
  <si>
    <t>勇气学院</t>
    <phoneticPr fontId="49" type="noConversion"/>
  </si>
  <si>
    <t>迷惑学院</t>
    <phoneticPr fontId="49" type="noConversion"/>
  </si>
  <si>
    <t>剑舞学院</t>
    <phoneticPr fontId="49" type="noConversion"/>
  </si>
  <si>
    <t>低语学院</t>
    <phoneticPr fontId="49" type="noConversion"/>
  </si>
  <si>
    <t>创造学院</t>
    <phoneticPr fontId="49" type="noConversion"/>
  </si>
  <si>
    <t>雄辩学院</t>
    <phoneticPr fontId="49" type="noConversion"/>
  </si>
  <si>
    <t>知识领域</t>
  </si>
  <si>
    <t>知识领域</t>
    <phoneticPr fontId="49" type="noConversion"/>
  </si>
  <si>
    <t>生命领域</t>
  </si>
  <si>
    <t>光明领域</t>
  </si>
  <si>
    <t>自然领域</t>
  </si>
  <si>
    <t>风暴领域</t>
  </si>
  <si>
    <t>诡术领域</t>
  </si>
  <si>
    <t>战争领域</t>
  </si>
  <si>
    <t>锻造领域</t>
  </si>
  <si>
    <t>坟墓领域</t>
  </si>
  <si>
    <t>奥秘领域</t>
  </si>
  <si>
    <t>秩序领域</t>
  </si>
  <si>
    <t>和平领域</t>
  </si>
  <si>
    <t>暮光领域</t>
  </si>
  <si>
    <t>大地结社</t>
  </si>
  <si>
    <t>梦境结社</t>
  </si>
  <si>
    <t>牧人结社</t>
  </si>
  <si>
    <t>孢子结社</t>
  </si>
  <si>
    <t>星辰结社</t>
  </si>
  <si>
    <t>野火结社</t>
  </si>
  <si>
    <t>奉献之誓</t>
  </si>
  <si>
    <t>古贤之誓</t>
  </si>
  <si>
    <t>复仇之誓</t>
  </si>
  <si>
    <t>征服之誓</t>
  </si>
  <si>
    <t>救赎之誓</t>
  </si>
  <si>
    <t>王冠之誓</t>
  </si>
  <si>
    <t>荣耀之誓</t>
  </si>
  <si>
    <t>守望之誓</t>
  </si>
  <si>
    <t>龙族血脉</t>
  </si>
  <si>
    <t>龙族血脉</t>
    <phoneticPr fontId="49" type="noConversion"/>
  </si>
  <si>
    <t>狂野魔法</t>
    <phoneticPr fontId="49" type="noConversion"/>
  </si>
  <si>
    <t>神圣之魂</t>
    <phoneticPr fontId="49" type="noConversion"/>
  </si>
  <si>
    <t>幽影魔法</t>
    <phoneticPr fontId="49" type="noConversion"/>
  </si>
  <si>
    <t>风暴术法</t>
    <phoneticPr fontId="49" type="noConversion"/>
  </si>
  <si>
    <t>畸变心智</t>
    <phoneticPr fontId="49" type="noConversion"/>
  </si>
  <si>
    <t>时械之魂</t>
    <phoneticPr fontId="49" type="noConversion"/>
  </si>
  <si>
    <t>防护学派</t>
  </si>
  <si>
    <t>咒法学派</t>
  </si>
  <si>
    <t>预言学派</t>
  </si>
  <si>
    <t>附魔学派</t>
  </si>
  <si>
    <t>塑能学派</t>
  </si>
  <si>
    <t>幻术学派</t>
  </si>
  <si>
    <t>死灵学派</t>
  </si>
  <si>
    <t>变化学派</t>
  </si>
  <si>
    <t>书士会</t>
    <phoneticPr fontId="49" type="noConversion"/>
  </si>
  <si>
    <t>时间魔法</t>
    <phoneticPr fontId="49" type="noConversion"/>
  </si>
  <si>
    <t>重力魔法</t>
    <phoneticPr fontId="49" type="noConversion"/>
  </si>
  <si>
    <t>剑咏者</t>
    <phoneticPr fontId="49" type="noConversion"/>
  </si>
  <si>
    <t>直觉猛扑</t>
    <phoneticPr fontId="49" type="noConversion"/>
  </si>
  <si>
    <t>原初学识</t>
    <phoneticPr fontId="49" type="noConversion"/>
  </si>
  <si>
    <t>从3级起，当你的野蛮人职业等级达到3级和10级时，你可以从野蛮人1级所提供的技能熟练项列表中选择一个技能，获得该技能的熟练。</t>
    <phoneticPr fontId="49" type="noConversion"/>
  </si>
  <si>
    <t>当你的吟游诗人职业等级抵达能让你获得属性值提示职业特性时，你能进行以下一项改变。
这种变化代表着你改变了使用法术和技能的重点。
替换一个你已经选择专精的技能，你可以选择专精于另一个你已经有熟练但还没有专精的技能，之后，你原先专精于的技能变回熟练而非专精。
从诗人戏法列表表中选择一个你未习得的戏法，替换一个你已经习得的戏法。</t>
    <phoneticPr fontId="49" type="noConversion"/>
  </si>
  <si>
    <t>替换诗歌</t>
    <phoneticPr fontId="49" type="noConversion"/>
  </si>
  <si>
    <t>魔法激励</t>
    <phoneticPr fontId="49" type="noConversion"/>
  </si>
  <si>
    <t>苦痛魔爆</t>
  </si>
  <si>
    <t>幽影护甲</t>
  </si>
  <si>
    <t>星移步法</t>
  </si>
  <si>
    <t>野兽之语</t>
  </si>
  <si>
    <t>诱导话术</t>
  </si>
  <si>
    <t>惑人低语</t>
  </si>
  <si>
    <t>远古奥秘之书</t>
  </si>
  <si>
    <t>卡瑟利之链</t>
  </si>
  <si>
    <t>魔鬼视界</t>
  </si>
  <si>
    <t>恐惧箴言</t>
  </si>
  <si>
    <t>魔能视界</t>
  </si>
  <si>
    <t>魔能长枪</t>
  </si>
  <si>
    <t>符文守护者之眼</t>
  </si>
  <si>
    <t>邪魔活力</t>
  </si>
  <si>
    <t>共视感官</t>
  </si>
  <si>
    <t>饮命者</t>
  </si>
  <si>
    <t>千面之脸</t>
  </si>
  <si>
    <t>万形之主</t>
  </si>
  <si>
    <t>混沌手下</t>
  </si>
  <si>
    <t>心灵泥沼</t>
  </si>
  <si>
    <t>迷雾幻影</t>
  </si>
  <si>
    <t>融身入影</t>
  </si>
  <si>
    <t>超凡跳跃</t>
  </si>
  <si>
    <t>斥力魔爆</t>
  </si>
  <si>
    <t>重塑血肉</t>
  </si>
  <si>
    <t>凶兆符记</t>
  </si>
  <si>
    <t>命运窃贼</t>
  </si>
  <si>
    <t>饥渴魔刃</t>
  </si>
  <si>
    <t>穹宇尽视</t>
  </si>
  <si>
    <t>缚主之音</t>
  </si>
  <si>
    <t>坟墓低语</t>
  </si>
  <si>
    <t>巫术视界</t>
  </si>
  <si>
    <t>谨慎法术</t>
  </si>
  <si>
    <t>远程法术</t>
  </si>
  <si>
    <t>强效法术</t>
  </si>
  <si>
    <t>延效法术</t>
  </si>
  <si>
    <t>升阶法术</t>
  </si>
  <si>
    <t>瞬发法术</t>
  </si>
  <si>
    <t>精妙法术</t>
  </si>
  <si>
    <t>孪生法术</t>
  </si>
  <si>
    <t>受祝击</t>
    <phoneticPr fontId="49" type="noConversion"/>
  </si>
  <si>
    <t>从8级起（替代神圣打击或强力施法），在战斗中，你受到神力的祝福，当你通过戏法或武器攻击来伤害一个生物时，你能够对该生物造成额外1d8光耀伤害。
当你造成一次此伤害后，你直到自己的下一个回合开始前无法再次使用此特性。</t>
    <phoneticPr fontId="49" type="noConversion"/>
  </si>
  <si>
    <t>替换戏法</t>
    <phoneticPr fontId="49" type="noConversion"/>
  </si>
  <si>
    <t>从4级起，当你在此职业获得了属性值提升，你可以将一个你通过此职业的施法特性学会的牧师戏法替换为牧师法术列表中的另一个戏法。</t>
    <phoneticPr fontId="49" type="noConversion"/>
  </si>
  <si>
    <t>神力掌控</t>
    <phoneticPr fontId="49" type="noConversion"/>
  </si>
  <si>
    <t>精类触碰</t>
    <phoneticPr fontId="49" type="noConversion"/>
  </si>
  <si>
    <t>替换戏法</t>
    <phoneticPr fontId="49" type="noConversion"/>
  </si>
  <si>
    <t>从4级起，每当你达到该职业提升属性值的等级时，你就可以用德鲁伊法术列表中的另一个戏法来替换你从该职业的施法特性中学到的一个戏法。</t>
    <phoneticPr fontId="49" type="noConversion"/>
  </si>
  <si>
    <t>荒野伙伴</t>
    <phoneticPr fontId="49" type="noConversion"/>
  </si>
  <si>
    <t>从2级起，你获得召唤呈现动物形态的精魂的能力，以一个动作，你能够消耗一次荒野变形使用次数来施放一次无需材料的获得魔宠法术。
当你以此方法施放该法术时，魔宠的类型是精类而不是野兽，魔宠会在等同于你德鲁伊等级一半的小时数后消失。</t>
    <phoneticPr fontId="49" type="noConversion"/>
  </si>
  <si>
    <t>月亮结社</t>
    <phoneticPr fontId="49" type="noConversion"/>
  </si>
  <si>
    <t>当你进行一次智力（调查）、智力（历史）或感知（洞悉）检定时，你能够消耗一枚卓越骰，将消耗的卓越骰加入此次属性检定中。</t>
    <phoneticPr fontId="49" type="noConversion"/>
  </si>
  <si>
    <t>当你进行一次魅力（威吓）、魅力（表演）或魅力（说服）检定时，你能够消耗一枚卓越骰，将消耗的卓越骰加入此次属性检定中。</t>
    <phoneticPr fontId="49" type="noConversion"/>
  </si>
  <si>
    <t>替换武术</t>
    <phoneticPr fontId="49" type="noConversion"/>
  </si>
  <si>
    <t>从4级起，当你的战士职业等级抵达能让你获得属性值提示职业特性时，你能进行以下一项改变。
这种变化代表着你改变了武术训练和练习的重点
用一个战士可用的战斗风格替换原有的一个战斗风格。
如果你通过战技大师范型掌握了战技，你可以将你的一个已知战技替换为一个不同的战技。</t>
    <phoneticPr fontId="49" type="noConversion"/>
  </si>
  <si>
    <t>从1级起，当你在选择战斗风格时，下列选项加入你的可选战斗风格中。
盲斗：你获得10尺盲视，在10尺范围内，你可以看见除了处于全遮掩后的任何东西，哪怕你正在被目盲或是在黑暗之中，另外，你可以看见该范围内的未对你成功躲藏的隐形生物。
卓越技巧：你从战斗大师武术范型的战技列表中习得一项战技，如果该战技需要豁免，则豁免DC为8+你的熟练加值+你的力量或敏捷调整值（由你选择）。
你获得一个d6的卓越骰（此卓越骰与任何你能够其他方式获得的卓越骰累计），此卓越骰可用于启动你的战技，卓越骰一经使用即消耗，并在完成一次短休或长休后恢复。
投掷武器战斗：你可以在使用一件带有投掷属性武器进行进攻时，将那件武器作为攻击的一部分而拔出，另外，在你以一件投掷武器于远程攻击中命中对手时，你的伤害掷骰+2。
徒手战斗：你的徒手打击可以造成1d6+你力量调整值的钝击伤害，如果你没有手持任何武器或盾牌进行攻击，伤害骰从d6变成d8， 每个你的回合开始时，你可以对被你擒抱的生物造成1d4钝击伤害。</t>
    <phoneticPr fontId="49" type="noConversion"/>
  </si>
  <si>
    <t>战斗风格选项</t>
    <phoneticPr fontId="49" type="noConversion"/>
  </si>
  <si>
    <t>戏法公式</t>
    <phoneticPr fontId="49" type="noConversion"/>
  </si>
  <si>
    <t>从3级起，你在法术书中写下了一套奥法公式，并能借此在心中推演出一个戏法。
每当你完成一次长休，你可以查阅法术书中所记的公式，以将你的一个已知法师戏法替换为另一个来自法师法术列表的戏法。</t>
    <phoneticPr fontId="49" type="noConversion"/>
  </si>
  <si>
    <t>凝神聚气</t>
    <phoneticPr fontId="49" type="noConversion"/>
  </si>
  <si>
    <t>从5级起，当你攻击检定未命中时，你可以花费1到3点气来使该次攻击检定获得加值，每点气的消耗能获得+2加值，这可能会使原本的未命中改为命中。</t>
    <phoneticPr fontId="49" type="noConversion"/>
  </si>
  <si>
    <t>加速愈合</t>
    <phoneticPr fontId="49" type="noConversion"/>
  </si>
  <si>
    <t>从4级起，以一个动作，你能消耗2点气并且投掷一粒武艺骰，你恢复等同于掷骰结果加上你的熟练加值的生命值。</t>
    <phoneticPr fontId="49" type="noConversion"/>
  </si>
  <si>
    <t>驭气以击</t>
    <phoneticPr fontId="49" type="noConversion"/>
  </si>
  <si>
    <t>从3级起，如果你在你的回合中执行动作时花费了1点或更多的气，则你可以在回合结束前用1附赠动作以徒手打击或武僧武器进行一次攻击。</t>
    <phoneticPr fontId="49" type="noConversion"/>
  </si>
  <si>
    <t>专用武器</t>
    <phoneticPr fontId="49" type="noConversion"/>
  </si>
  <si>
    <t>从2级起，你训练自己使用各种武器作为武僧武器，而不仅仅是简易近战武器和短剑。
每当你完成短休或长休时，可以碰触一件武器，将气集中在它之中，然后该武器就视为武僧武器，直到你再次使用这个能力。
所选武器必须符合以下标准：
武器必须是简易武器或军用武器
你必须拥有其熟练项
不能拥有重型或特殊属性</t>
    <phoneticPr fontId="49" type="noConversion"/>
  </si>
  <si>
    <t>战斗变通</t>
    <phoneticPr fontId="49" type="noConversion"/>
  </si>
  <si>
    <t>每当你通过提升圣武士等级获得属性值提升时，你可以用另一个圣武士能够选择的战斗风格替换你当前的战斗风格，这一变化代表着你在战斗训练上重心的转移。</t>
    <phoneticPr fontId="49" type="noConversion"/>
  </si>
  <si>
    <t>驾驭神力</t>
    <phoneticPr fontId="49" type="noConversion"/>
  </si>
  <si>
    <t>从3级起，你能够消耗一次引导神力的使用次数来驱动法术。
以一个附赠动作，你能够通过接触圣徽，并献上祈祷，来恢复一个已消耗的法术位，其环数不能超过你的一半熟练加值（向上取整）。
你能使用此能力的次数取决于你的圣武士等级：3级1次，7级2次，15级3次。
当你完成一次长休息时，你重新获得已消耗的使用次数。</t>
    <phoneticPr fontId="49" type="noConversion"/>
  </si>
  <si>
    <t>从2级起，当你选择战斗风格时，以下战斗风格加入可选战斗风格列表。
受祝福的勇士：你从牧师法术列表中选择两种戏法习得，这些戏法对你来说是圣武士法术，这些戏法的施法关键属性是魅力，当你提升此职业的等级时，你能够将一个已知戏法替换为牧师法术列表中的另一个戏法。
盲斗：你获得10尺盲视，在此范围内，你视为能看见任何未被完全遮蔽的事物，即便你目盲或在黑暗光照下，此外，你也可以看见范围内的隐形生物，除非其针对你进行隐匿并成功。
拦截：当一个你可见的生物攻击并击中了你5尺内一个你以外的生物时，你可以用反应减少该目标受到的伤害，减少数值为1d10+你的熟练加值（至少为0），你必须正在持用一面盾牌或一把简单武器或军用武器才能使用此能力。</t>
    <phoneticPr fontId="49" type="noConversion"/>
  </si>
  <si>
    <t>遁术</t>
    <phoneticPr fontId="49" type="noConversion"/>
  </si>
  <si>
    <t>自然面纱</t>
    <phoneticPr fontId="49" type="noConversion"/>
  </si>
  <si>
    <t>从10级起（替换遁术），你可以暂时地使用自然的力量将你的身形遮蔽。
以一个附赠动作，你可以魔法地使自己与正携带、着装的任何装备变得隐形，直到你的下个回合开始。
你可以使用该特性同等于你的熟练加值次，你在完成一次长休后恢复所有的使用次数。</t>
    <phoneticPr fontId="49" type="noConversion"/>
  </si>
  <si>
    <t>从4级起，当你的游侠职业等级抵达能让你获得属性值提示职业特性时，你能用一个游侠可用的战斗风格替换原有的一个战斗风格，这种变化代表着你改变了武术训练和练习的重点。</t>
    <phoneticPr fontId="49" type="noConversion"/>
  </si>
  <si>
    <t>原始意识</t>
    <phoneticPr fontId="49" type="noConversion"/>
  </si>
  <si>
    <t>从3级起（替换原初意识），你可以通过与自然的共鸣而集中你的意识:若你尚未习得下方表格种的法术，那么你在抵达对应等级时学会下方原始意识法术表格中的法术，这些法术不占用你的游侠已知法术。
始意识法术
三级 动物会话
五级 野兽知觉
九级 植物交谈
十三级 生物定位术
十七级 问道自然
你每天可以施展这些对应的法术每个一次而不需要消耗法术位，一旦你用这种方式施法，你在完成一次长休前不能再这么做。</t>
    <phoneticPr fontId="49" type="noConversion"/>
  </si>
  <si>
    <t>法器</t>
    <phoneticPr fontId="49" type="noConversion"/>
  </si>
  <si>
    <t>从2级起，你可以使用一件德鲁伊法器作为你的游侠法术的法器。
一件德鲁伊法器可能会是一枝槲寄生或者冬青木的枝条，用紫衫木或者其他特殊木材制作而成的魔杖或权杖，一柄从活化树木上取来的法杖，或是一件混合了神圣动物的羽毛、毛发、骨头与牙齿的物件。</t>
    <phoneticPr fontId="49" type="noConversion"/>
  </si>
  <si>
    <t>从2级起，当你在选择战斗风格时，下列选项加入你的可选战斗风格中。
盲斗：你获得10尺盲视，在10尺范围内，你可以看见除了处于全遮掩后的任何东西，哪怕你正在被目盲或是在黑暗之中，另外，你可以看见该范围内的隐形生物，除非该生物成功地对你躲藏。
德鲁伊教战士：你学会两个来自德鲁伊法术列表的你自选的戏法，它们对你视作游侠法术，感知是你施展他们的施法关键属性。
当你升级时，你可以将其中一个戏法替换为德鲁伊法术列表中的另一个戏法。
投掷武器战斗：你可以在使用一件带有投掷属性武器进行进攻时，将那件武器作为攻击的一部分而拔出。
另外，在你以一件投掷武器于远程攻击中命中对手时，你的伤害掷骰+2。</t>
    <phoneticPr fontId="49" type="noConversion"/>
  </si>
  <si>
    <t>夙敌</t>
    <phoneticPr fontId="49" type="noConversion"/>
  </si>
  <si>
    <t>从1级起（替换宿敌并能够对屠灭众敌起效），当你以一次攻击掷骰命中一个生物时，你可以呼唤你与自然的神秘羁连以将目标标记为你的夙敌，持续一分钟或直到你失去专注(如同你在专注一道法术)。
你在你的回合内第一次命中你的夙敌并对其造成伤害，且你正在标记它时，你可以造成额外的1d4点伤害。
你可以使用同等于你的熟练加值次该特性来标记你的夙敌，你在完成一次长休后恢复所有已使用的次数。
这个特性的额外伤害在你达到特定等级时会增加：6级时1d6，14级时1d8。</t>
    <phoneticPr fontId="49" type="noConversion"/>
  </si>
  <si>
    <t>熟练探险家</t>
    <phoneticPr fontId="49" type="noConversion"/>
  </si>
  <si>
    <t>从1级起（替代自然探索者），你是一个无与伦比的探险家和求生专家。
你在1级时获得对应的特性，然后在第6级和第10级时再各获得对应的特性。
精明（1级）：你选择一项你拥有熟练的技能，你在使用该技能时的任何属性检定的使用两倍的熟练加值，此外，你可以额外说，读，写两门你选择的语言。
越野（6级）：你的步行速度增加5，同时你获得等于你步行速度的攀爬速度和游泳速度。
不知疲倦（10级）：以一个动作，你能够给予自己1d8+你的感知调整值的临时生命值，你能够使用此特性的次数等于你的熟练加值次（最少1次），已消费的次数可以通过完成一次长休进行恢复，此外，当你完成一次短休时，你的力竭等级减少1（若有）。</t>
    <phoneticPr fontId="49" type="noConversion"/>
  </si>
  <si>
    <t>当你执行疾走动作时，你可以用附赠动作发动一次近战武器攻击，或推撞一个生物。
若你在使用附赠动作前至少直线行走10尺，则该次攻击的伤害掷骰具有+5加值（若你选择近战攻击且命中），或目标被推出至多10尺（若你选择推撞且成功）。</t>
    <phoneticPr fontId="49" type="noConversion"/>
  </si>
  <si>
    <t>当你持用一把已具有熟练项的灵巧武器时，若另一生物对你发动的近战攻击命中你，则你可执行反应并将你的熟练加值添加到本次攻击的AC中，此举还有可能导致本次攻击变为未命中。
先决条件：敏捷13或更高</t>
    <phoneticPr fontId="49" type="noConversion"/>
  </si>
  <si>
    <t>你每回合有一次机会，在掷近战武器攻击的伤害骰时，重掷武器的伤害骰并选用新旧骰值二者之一。</t>
    <phoneticPr fontId="49" type="noConversion"/>
  </si>
  <si>
    <t>选择任意组合的三项技能或工具加入你的熟练项。</t>
    <phoneticPr fontId="49" type="noConversion"/>
  </si>
  <si>
    <t>手稳就准</t>
    <phoneticPr fontId="49" type="noConversion"/>
  </si>
  <si>
    <t>从3级起，作为一个附赠动作，你在当前回合为你的下一次攻击提供优势。
你只能在你本回合还没有移动的时候使用这个附赠动作，而且在你使用这个附赠动作后，你的速度在当前回合里归0。</t>
    <phoneticPr fontId="49" type="noConversion"/>
  </si>
  <si>
    <t>魔法指引</t>
    <phoneticPr fontId="49" type="noConversion"/>
  </si>
  <si>
    <t>从5级起，你能够挖掘内在的魔力源泉，从失败中召唤成功。
当你进行一次属性检定并失败时，你可以使用1术法点重投之。
你必须使用重投的结果，此举可能使该检定改为成功。</t>
    <phoneticPr fontId="49" type="noConversion"/>
  </si>
  <si>
    <t>法力变换</t>
    <phoneticPr fontId="49" type="noConversion"/>
  </si>
  <si>
    <t>从4级起，每当你通过提升术士等级获得属性值提升时，你可以进行以下一种行为，代表着你内在的法力流向了新的途径：
用另一个你能够选择的超魔法选项替换你当前的一个超魔法选项。
用另一个你能够从术士法术列表中选择的戏法替换你当前已知的一个术士戏法。</t>
    <phoneticPr fontId="49" type="noConversion"/>
  </si>
  <si>
    <t>转化法术</t>
    <phoneticPr fontId="49" type="noConversion"/>
  </si>
  <si>
    <t>当你施放一个能够造成以下列表中类型伤害的法术时，你可以使用1术法点将其改为列表中的另一种伤害类型：强酸、冷冻、火焰、闪电、毒素或雷鸣。</t>
    <phoneticPr fontId="49" type="noConversion"/>
  </si>
  <si>
    <t>追踪法术</t>
    <phoneticPr fontId="49" type="noConversion"/>
  </si>
  <si>
    <t>当你因法术进行一次攻击检定并击失时，你可以使用2术法点重投之。
你必须使用重投的结果，追踪法术超魔可以与其他超魔法选项合用。</t>
    <phoneticPr fontId="49" type="noConversion"/>
  </si>
  <si>
    <t>护符牵绊</t>
  </si>
  <si>
    <t>魔能意志</t>
  </si>
  <si>
    <t>遥远音讯</t>
  </si>
  <si>
    <t>守护馈赠</t>
  </si>
  <si>
    <t>链主赋能</t>
  </si>
  <si>
    <t>护符庇佑</t>
  </si>
  <si>
    <t>符令责斥</t>
  </si>
  <si>
    <t>永恒奴役</t>
  </si>
  <si>
    <t>=LEFT(I3,LENB(I3)-LEN(I3))</t>
    <phoneticPr fontId="49" type="noConversion"/>
  </si>
  <si>
    <t>通用语</t>
  </si>
  <si>
    <t>矮人语</t>
  </si>
  <si>
    <t>精灵语</t>
  </si>
  <si>
    <t>巨人语</t>
  </si>
  <si>
    <t>侏儒语</t>
  </si>
  <si>
    <t>地精语</t>
  </si>
  <si>
    <t>半身人语</t>
  </si>
  <si>
    <t>兽人语</t>
  </si>
  <si>
    <t>深渊语</t>
  </si>
  <si>
    <t>天界语</t>
  </si>
  <si>
    <t>龙语</t>
  </si>
  <si>
    <t>深潜语</t>
  </si>
  <si>
    <t>炼狱语</t>
  </si>
  <si>
    <t>原初语</t>
  </si>
  <si>
    <t>木族语</t>
  </si>
  <si>
    <t>地底通用语</t>
  </si>
  <si>
    <t>背景名称</t>
    <phoneticPr fontId="49" type="noConversion"/>
  </si>
  <si>
    <t>背景特性</t>
    <phoneticPr fontId="49" type="noConversion"/>
  </si>
  <si>
    <t>背景特殊选项</t>
    <phoneticPr fontId="49" type="noConversion"/>
  </si>
  <si>
    <t>信仰庇护ShelteroftheFaithful。作为一名侍僧，你与同一信仰的同志互相尊重，并且可以随时主持相应神祇的神圣仪式。当你与冒险同伴遇到你所信仰神祇的神庙，圣坛或其他机构时，你们可能会得到免费的治疗和照料，但你必须为法术提供必须的材料成分。那些与同一信仰的同志会支持你（但仅限你）最基本的生活需求。</t>
  </si>
  <si>
    <t>你可以从附录B的表格中选择某名神祇、某个神系或其他类神存在，也可以直接由你的DM进行介绍选择。</t>
  </si>
  <si>
    <t>假身份FalseIdentity。你可以伪装成另一个身份，还附带关于该身份的相关的人证物证，并且必须先乔装打扮来让你进入角色。此外，你还可以伪造含有官方格式和私人笔迹的文书，前提是你必须曾见过此类文件以及目标的笔迹以作范本。</t>
  </si>
  <si>
    <t>偏好骗局Favorite Schemes
   每个骗子都有比较偏爱的骗局手法。选择一个偏好骗局，或者掷骰随机决定。
d6 骗局
1  我在博弈游戏中作弊。
2  我造假币或者伪造文件。
3  我渗透进他人生活中，掌握其把柄，夺取他其财产。
4  我像换衣服一样换身份。
5  我在街角靠巧手耍把戏。
6  我说服别人花一大笔辛苦钱买不值钱的垃圾。</t>
  </si>
  <si>
    <t>罪犯联络员CriminalContact。你有一个可靠可信的联络员，来帮你组织进罪犯们组成的联系网中。即使遥隔千里你也知道如何从联络人处收发信息。此外，你还知道哪些人能为你捎信，他们可能是本地的信使，可贿赂的商队主管，或是衣衫褴褛的水手。</t>
  </si>
  <si>
    <t>作案手法Criminal Specialty
    违法犯罪的行为五花八门，而在盗贼公会或类似的犯罪组织中，每个成员也有着不同的专职分工。即便是那些游离于组织之外的罪犯，也会对某些特定的罪行更为偏爱。选择你在犯罪生涯中扮演的角色，或者依据下列表格进行随机投骰。
d8  手法
1 敲诈犯Blackmail
2 盗窃犯Burglar
3 斗殴犯Enforcer
4 销赃犯Fence
5 路匪Highway robber
6 职业杀手Hired killer
7 扒窃犯Pickpocket
8 走私犯Smuggle</t>
  </si>
  <si>
    <t>人见人爱ByPoularDemand。你总是能找到表演场地，通常是酒馆或者客栈，偶尔也会是马戏团、剧院，甚至是贵族厅堂。只要你每晚维持出演，就可以在表演地获得简朴或舒适水平的免费食宿（取决于表演的规模）。此外，表演生涯使你在当地获得一定名气。当你在演出的城镇被陌生人认出时，通常都会受到善待。</t>
  </si>
  <si>
    <t>演艺方向Entertainer Routines
    优秀的艺人应当多才多艺，并且能够在一次表演中以多种不同套路娱乐观众。自选一到三种套路或掷骰随机决定你作为艺人的技艺。
d10  演艺方向
1 演员Actor
2 舞者Dancer
3 吞火艺人Fire-eater 
4 小丑Jester
5 魔术师Juggler
6 乐师Instrumentalist
7 诗人Poet
8 歌手Singer
9 说书人Storyteller
10 杂技演员Tumbler</t>
  </si>
  <si>
    <t>好客乡民RusticHospitality。你因来自平民阶层而在乡民群众中倍感舒适。除非乡民们已经认为你会带来危险，否则你总能在普通人群中找到一个地方以供躲藏，休息或复原。他们能够掩护你逃脱法办，或者逃离追杀你的人，只是他们并不会为你而牺牲自己的性命。</t>
  </si>
  <si>
    <t>命定事件Defining Event
    从前你与民众一同从事某一项单纯的专职工作，你的可能是专职的农民，矿工，仆役，牧羊人，伐木工或是掘墓人等。但是由于某件事的发生，你便走上了一条不同的道路并标志着你此后的追求将更加伟大。选择或投骰随机决定一个命定事件以标志着你成为人们心中英雄的时机。
d10  命定事件
1 我挺身而出反抗某位暴君的代理人。
2 我在一起自然灾害中救了人。
3 我独自一人对抗一只可怕的怪物。
4 我偷窃了一名腐败商人的钱财再用来帮助穷人。
5 我领导一支民兵击退了一支入侵的军队。
6 我闯进某位暴君的城堡，并从中偷取武器武装民众。
7 我训练农民们以农具作武器抵抗某位暴君的士兵们。
8 为反对一项不公法令，我发起了一场象征性的抗议活动，随后当地领主就将其废止了。
9 一只天界生物，精类生物或是类似的其他生物赐我予祝福，或是揭示了我的秘密血统。
10 我被招募进一位领主的军队，期间我因自己的英雄气概而受到称赞，并被提升为领导者。</t>
  </si>
  <si>
    <t>公会成员GuildMembership。你身为公会中一名备受尊敬的正式成员，可以享受到公会所提供的一些好处。公会中的同僚会在你需要时为你提供食宿，甚至在必要时为你安排身后事。公会在某些市镇设置有会馆，你可以以此作为与同行交流的场所，也可以从中开发潜在的客户、合作伙伴或雇工。</t>
  </si>
  <si>
    <t>公会行当Guild Business
    通常只有那些大到足以支持许多同行工匠的城市才能发展出公会。当然，你的公会也可能是一个较大国度中，将分散在不同村镇中的工匠们联系起来的松散网络。与DM一起决定你所在公会的类型。你可以从表中选择或掷骰随机决定你的公会行当。
d20  公会行当
1 炼金师alchemists、药剂师apothecaries
2 盔甲工匠armorers、锁匠locksmiths、镀金师finesmiths
3 酿酒师brewers、蒸馏师distillers、葡萄酒商vintners
4 抄写员calligraphers、书记员scribes、公证人scriveners
5 木匠carpenters、盖顶匠roofers、泥水匠plasterers
6 绘图员cartographers、测量员surveyors、制表员chart-makers
7 补鞋匠cobblers、制鞋匠shoemakers
8 厨师cooks、烘焙师bakers
9 玻璃吹制师glassblowers、玻璃装配师glaziers
10 珠宝匠jewlers、宝石切割师gemcutters
11 皮匠leatherworkers、剥皮师skinners、制革师tanners
12 泥瓦匠masons、石匠stonecutters
13 漆匠painters、画师limners、纹章师sign-makers
14 陶工potters、瓦匠tile-makers
15 船木工shipwrights、修帆匠sailmakers
16 铁匠smiths、冶炼匠metal-forgers
17 修补匠tinkers、锡匠pewterers、铸造师casters
18 车厢工匠wagon-makers、轮匠wheelwrights
19 织布师weavers、染布师dyers
20 木雕师woodcarvers、桶匠coopers、弓匠bowyers
作为公会一员，你熟谙用原材料制造成品所需的技术（表现为你所拥有的特定工匠工具的熟练项），并且熟悉商贸的规则，还拥有做买卖的丰富经验。你需要抉择的是彻底放弃你的家底前去冒险，还是下十二分力气同时经营好冒险和自己的行当。</t>
  </si>
  <si>
    <t>探索Discovery。你寂寥的长期隐居令你发现了某些独特而强大的秘密。这项发现的具体内容与你的隐居的理由密切相关。你或许是找到了与宇宙真相，神祇本质，异界大能或是自然之力等相关的伟大真理。你也可能是发现了某处任何人都未曾发现的地点。你可能揭露了久被遗忘的真相，或是发掘出了久远史前的遗物。或者，你也可能是发现了那些一手导致你流放的家伙们相关的情报，而那也就是你重返凡世的契机。</t>
  </si>
  <si>
    <t>隐居生活Life of Seclusion
   为何你遗世独立，而又为何重踏尘世？你可以和DM共同商讨决定隐居的原因，也可以依下表选择或掷骰随机决定。
d8  隐居生活
1 我正在寻求灵魂的启迪。
2 我遵守修会教规，参与集体清修。
3 我因不白之冤而被流放。
4 某件事情改变我人生的大事使我弃世而去。
5 我为了能潜心于艺术、文字或音乐而去寻找一处僻静之地。
6 我要与自然沟通而远离文明世界。
7 我是一座古代遗迹或一件古代遗物的看守人。
8 我是一名追寻圣人，圣地或圣遗物的朝圣者。</t>
  </si>
  <si>
    <t>特权地位PositionofPrivilege。由于你的贵族血统，人们总是会予你优待。高等社会愿意接纳你，人们认同你有权去任何你想去的地方。平民们会尽力满足你的要求，避免你产生任何不快，而那些同样出身高贵的人则会视你为同一个社会圈子的人。你还可以在必要时前去拜会任何当地的贵族。</t>
  </si>
  <si>
    <t>和你的DM一起为该背景讨论一个合适的头衔，以及头衔所代表的权力。贵族的头衔并非只是孤立的概念，而是必须联系起一整个家族。无论你持有什么头衔，都有责任将其传给子孙后代。你不只要决定头衔为何，更要和DM一起设计你的家族以及家族对你的影响。
你的家族是古老而稳固，还是于近日刚刚踏入贵族圈？家族的影响力有多大，占据哪块地盘？家族在邻居贵族间名声如何？平民百姓又是如何看待他们的？
你在家族中的地位如何？你是否属于家族头领的子嗣？你对继承头衔的义务感想如何？或者你和继承权相去甚远，以至于除非你给家族蒙羞，否则根本无人在乎？家族头领对你冒险生涯的看法如何？你的家族成员是乐于与你相处，还是唯恐避之不及？
你的家族是否拥有盾徽？你是否需要佩戴家族的玺戒？是否需要穿着特定色系的服装？是否有一种被你的家族血脉视为象征的动物，其甚至会被视为心灵上的家族成员？
这些细节能帮助你设计相应的家族和头衔，并将其融入战役所在的世界设定中。</t>
  </si>
  <si>
    <t>家仆 Retainers。你将获得三名忠于你所在家族的家仆。这些家仆可以担任随从或者信使的工作，而其中一位还可以是一名管家。你的家仆都是平民，可以为你完成一些俗务工作，不过无法为你战斗，且不能跟随你进入明显危险的地域（比如地下城），而你一旦经常对其施虐或威胁，他们也会离你而去。
其中一名听令的家仆将由一名为你服务的扈从代替，其对你的辅助将是其自身通往骑士之道的训练之一。你的另两名家仆可以包括一位照顾马匹的马夫，以及一名护理护甲的仆役（也可以帮你着装）。作为骑士精神的象征和骑士之爱的典范，你或许会在装备上装置旗帜以代表某个你宣誓效忠的贵族阁下——代表一种纯粹的奉献（奉献的对象可以作为你的牵绊。）</t>
    <phoneticPr fontId="49" type="noConversion"/>
  </si>
  <si>
    <t>漂泊者Wanderer。你对记忆地图和地形时能力惊人，且你总能回想起地形、定居点或者其他环境特征的大致布局。此外，你每天可以为自己以及至多五名队友获取食物和饮水，前提是你们身处的土地可以提供浆果、小野兽、水源等资源。</t>
  </si>
  <si>
    <t>出身Origin
    你曾到达过全然陌生的地方，见识过他人未曾探索过的事物。你可以设定一些曾经造访过的遥远地区，以及这些经过如何影响了你。你可以参考下表掷骰随机决定自己身处荒野时如何维持生计，或者你也可以自选一项最适合选项。
d10  出身
1 护林员forester
2 设阱捕兽者trapper
3 自耕农homesteader
4 向导guide
5 流放者exile or outcast
6 赏金猎人bounty hunter
7 朝圣者pilgrim
8 游牧蛮族tribal nomad
9 狩猎采集者hunter-gatherer
10 劫掠蛮族tribal marauder</t>
  </si>
  <si>
    <t>研究者Researcher。当你需要学习或是记起某段学识内容时，就算你并不清楚其具体信息，也总能知道从何处或何人身上着手获取。这些情报通常来自某个图书馆、抄写室、学院，甚至是其他某个智者或某个知道相关知识的人或生物。鉴于发掘多元宇宙最深的秘密有时会需要整趟的冒险甚至是整个的战役，你的DM可能会设定这段情报的所在是一个遥不可及的地方，或者直接将其定义为无法找到。</t>
  </si>
  <si>
    <t>专业Specialty
   为决定你的学术积累的性质，投一个d8或是从下面的表格中自行选择。
d8  专业
1 炼金师alchemist
2 占星师astronomer
3 失权威学者discredited academic
4 图书馆员librarian
5 教授professor
6 研究员researcher
7 法师学徒wizard’s apprentice
8 书记员scribe</t>
  </si>
  <si>
    <t>船家路子Ship’sPassage。在必要时，你可以为团队谋得免费的顺风船进行旅行。你可能是搭上曾经效力过的船只，也可能是遇到与你交好的另一艘船（可能一位你曾经的同船水手所指挥的船只）。因为你是请求对方帮助（而非雇佣），所以你不能让行程和日程全然满足自己的要求。到达目的地的具体时间将由DM做决定。而作为免费搭乘的报酬，你和你的队友必须在航行中加入船员的行列帮忙做工。</t>
  </si>
  <si>
    <t>与DM讨论设定你曾经所驾驶的船只的相关信息。那是一艘商船、军舰，亦或是探索船、海盗船？它威名远扬，还是不为人知？它航线所至之处多还是少？它如今仍在航行，还是已经失踪，或是和上面的水手一道沉入海底？
你在船上的职位是什么——水手、船长、领航员、厨师，还是别的什么职务？船长是谁，大副又是谁？你是带着同伴们的祝福离舰，还是狼狈地从船上出逃？</t>
  </si>
  <si>
    <t>军阶MilitaryRank。你作为士兵时曾获得过军阶。那些忠于你之前所在组织的士兵仍会承认你的权威与影响，而其中军阶比你低的人甚至依然会遵从你的命令。凭借军阶的影响，你可以向其他士兵临时征用简单的装备或马匹。并且还可以凭此随意通过那些承认你军阶的友方军队大营和堡垒。</t>
  </si>
  <si>
    <t>专职Specialty
   你在身为士兵的时期曾在你的小组或部队中任职一个特定的专职。参照下表投一个d8随机决定角色的专职，或是直接从表中自行选择：
d8  专职
1 军官officer
2 侦察兵scout
3 步兵infantry
4 骑兵cavalry
5 医疗师healer
6 军需官quartermaster
7 旗手standard bearer
8 后勤人员support staff（铁匠blacksmith、厨子cook等）</t>
  </si>
  <si>
    <t>城中秘密CitySecrets。你熟知城市中的秘密小路和胡同，能够在其他人容易迷失的混乱街区中寻路。如果你们并非身处战斗状态，则你还可以在市区内引导同伴以两倍的平时速度在两个地点间穿行。</t>
  </si>
  <si>
    <t>你在开始冒险生涯时，身上带着一笔钱可以让你过上十几天简朴水平的安稳生活。你是如何得到这笔钱的？是什么力量让你能够冲破绝望的生活环境，尝试得到更好的生活？</t>
  </si>
  <si>
    <t>守护者之眼Watcher’sEye。你在执行法律、处理违法者的工作中积累了丰富的经验，这使你对法律和犯罪的相关事宜异常敏感。你可以轻易的找到守卫的哨站或是一些类似的机构，也能轻易的发现犯罪者们活动的窝点，同时在前者中更受欢迎而在后者中则相反。</t>
  </si>
  <si>
    <t>变体：调查员
Variant: Investigator
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
建议特征Suggested Characteristics
使用《玩家手册》中“士兵”的特征表格作为你的基础特征和动机，并在适当的时候修改条目以让其符合你作为城市守卫的身份。
    你的羁绊可能会关联于你城市守卫的同袍们、或是守卫组织本身，且几乎确定会与你所在的社会有关。你的理念可能会包括促进和平与安全。而一名调查员则可能会有着与借由破案来实现正义有关的理念。</t>
    <phoneticPr fontId="49" type="noConversion"/>
  </si>
  <si>
    <t>矮人之敬意RespectoftheStoutFolk。再没其他人会像矮人一样，会对那些作为氏族工匠的外来者给予高度尊重。你总能在盾矮人或金矮人的居住地获得免费的食宿，矮人们甚至还会争相为你提供服务（你的同胞也可能成为其服务对象），并努力给予最好的食宿和帮助。</t>
  </si>
  <si>
    <t>建议特征Suggested Characteristics 
使用《玩家手册》中“公会工匠”的特征表格作为你的基础特征和动机，并在适当的时候修改条目以让其符合你作为氏族工匠的身份。（例如考虑把“公会”和“氏族”两个词 互换一下）
    你的羁绊几乎确定会关联于教导你技艺的师傅或氏族、或与你所从事的工作有关。你的理念可能会与维持高品质的工作成果或保存矮人的传统工艺有关。</t>
    <phoneticPr fontId="49" type="noConversion"/>
  </si>
  <si>
    <t>图书馆使用权LibraryAccess。你所在的图书馆里就算最普通的资料库，想要获得进入其中权限之人都必须成功通过漫长繁复的面试并缴纳一定的费用，而你却能轻松自如地进入图书馆的大部分区域，哪怕这些防止外人直接接触的学识都涉及到各种极珍贵、魔法或秘密的领域。你在这个隐修机构中的工作经验，让你得以通过自己的人脉或官僚手段游走其中的关系网。此外，你作为一个专业礼貌的学者，在国度中其他的图书馆里也可能会获得优惠的待遇。</t>
  </si>
  <si>
    <r>
      <t>建议特征Suggested Characteristics 
使用 《玩家手册》中“智者”的特征表格作为你的基础特征和动机，并在适当的时候修改条目以让其符合你作为学者的身份。
    你的羁绊几乎确定会关联于成长的场所、或是你希望在冒险过程中获得的知识。你的理念无疑会与你看待对知识和真理的追求有关</t>
    </r>
    <r>
      <rPr>
        <sz val="11"/>
        <color theme="1"/>
        <rFont val="Microsoft JhengHei"/>
        <family val="2"/>
        <charset val="136"/>
      </rPr>
      <t>──也许这本身就是个具有价值的目标，又或者它只不过是通往理想目标的一种手段。</t>
    </r>
    <phoneticPr fontId="49" type="noConversion"/>
  </si>
  <si>
    <t>官员CourtFunctionary。你掌握的官场运作知识，让你在面对任何贵族宫廷或政府时得以从中获取情报并窥见其内部操作。你了解是谁在进行幕后操纵，知道应该寻求何人支持，还清楚这些组织当前正感兴趣的阴谋。</t>
  </si>
  <si>
    <t>建议特征 Suggested Characteristics 
使用《玩家手册》中“公会工匠”的特征表格作为你的基础特征和动机，并在适当的时候修改条目以让其符合你作为朝臣的身份。
你开始工作时所在的贵族政议院或官僚机构会直接或间接的关联于你的羁绊（可能会与组织中的某个人物有关，像是你的教父或导师）。你的理念可能会与你政议院或组织中主流的哲学思想有关。</t>
    <phoneticPr fontId="49" type="noConversion"/>
  </si>
  <si>
    <t>避风港SafeHave。作为一名派系特工，你的权限可以让你得以组织秘密联络网中那些可为你的冒险生涯提供援助之后勤和行动组成员。你知道识别这些秘密人员的记号和密语，这些人可为你提供一个免费食宿的隐秘安全屋，或是能够协助你寻找需要的情报。但这些家伙并不会为你进行暴露自己身份或生命安全的危险工作。</t>
  </si>
  <si>
    <t xml:space="preserve">剑湾中的组织
Factions of the Sword Coast
由于在北地缺乏大型集中政权的政府，在剑湾这片土地上分布着许许多多和剑湾政治阴谋有着密切关联的隐秘组织。如果你的背景是一名北地主要组织的代理人的话，以下介绍可能对你有所帮助。
竖琴手联盟The Harper。 自成立多年以来，竖琴手联盟经历了多次的解散和重组，如今他们仍旧是一个有着强大实力的幕后组织，他们喜欢更多的通过公理和知识来阻止邪恶的行为，而不是运用暴力。竖琴手表通常熟练于调查（Investigation），这让他们能够熟练的进行窃听，间谍活动。他们通常会向其他竖琴手，共同理念的吟游诗人，旅店老板，游侠和与竖琴手联盟相同理念的神的神职人员寻求援助。
铁手套教团The Order of the Gauntlet。 作为费伦大陆上一个新起的力量，铁手套教团有着和竖琴手联盟相似的理念。然而他们的方式截然不同：铁手套的教义是作为神圣的战士在寻求真理的道路上摧毁邪恶，倡导公正，他们从来不会将自己隐藏在阴影之下。教团成员们熟练于 宗教（ Religion），且通常会向与他们理念相同的执法部门，或是教员们信仰的神的神职人员们寻求援助。
翠绿闲庭 the Emerald Enclave。 保持自然秩序的平衡和对抗破坏这种平衡的力量，这是翠绿闲庭的两个目标。这个组织中的人员通常是野外生存大师，并且以这片土地为生。他们通常熟练于自然（Nature）技能，当他们遇到困难时，会从树人，猎人，游侠，野蛮人部落，德鲁伊集舍和信奉自然之神的神职人员那里寻求帮助。
领主联盟 The Lords` Alliance。 在某种程度上说，领主联盟的代理人们就代表了所在的城市，还有构成联盟的国家和政府。但是作为一个关切集体利益的联合组织，它跨越在本地政治和地理领土之上，领主联盟通过工作在各个联盟城市内的工作人员的日常工作，架设起了自己独有的组织结构。一个联盟代理人需要对历史（History）知识有深厚的了解，在他们遇到困难时，会向所属联盟的政府，还有其他支持联盟理念的领导人和组织寻求帮助。
散塔林会 The Zhentarim。 近年来，散塔林会通过改善它们在普通人中的名声，成为世界上最显眼的一个组织。这个组织吸收来自各行各业的工作人员和合作者，让他们以达成以暗黑情报网目标为任务进行工作，但在本质上并不需要进行犯罪。暗黑情报网人员通常秘密的进行工作，并且非常熟练于 欺诈（ Deception）。他们会从法师，雇佣兵，商人和与散塔林会结盟的神职人员那寻求帮助。 </t>
    <phoneticPr fontId="49" type="noConversion"/>
  </si>
  <si>
    <t>众目焦点AllEyesonYou。你的口音，言谈举止，措辞风格甚至你的外表都表明你就是一个异乡人。无论你走到哪里，好奇的目光总会伴随着你。虽然这有些令人讨厌，但是也让你得以对那些感兴趣的学者们，和那些对远方好奇希望听你述说家乡故事之人的好感。与其他民众不同，你可以运用这种关注力为自己或旅伴们亲近想要接触之人。那些贵族领主、学者、商人望族等等可能会有兴趣听你那些有关远方故乡和人民的故事。</t>
  </si>
  <si>
    <t>为何来此？
Why Are You Here?
一名远行者可能会因多种多样的原因而踏上旅程，且他或她离开故土的缘由可能是自愿或者非自愿的。从下表中投掷或者自行选择一个原因决定你为何远离家乡。下方的章节阐述了你可能的家乡，其中包含了每个地点建议的离开原因。
 D6
  原因 
 1  密使 
 2  流放者 
 3  逃亡者 
 4  朝圣者 
 5  游客 
 6  流浪汉 
从何而来？
Where Are You From?
创建一个远行者背景最重要的决定是确定你的故乡在哪。这里有一些离北地和剑湾足够远的地方可以作为你的故乡参考。
永聚岛Evermeet。 在遥远的西方的岛屿，它是那些从未到过费伦大陆的精灵们的故乡。当精灵们来到费伦大陆时，他们通常会觉得这里是比他们预期更加严酷的地方。如果你是一名精灵，永聚岛是一个作为你故乡的比较合理的选择（尽管这不是必须的）
大多数从永聚岛上移民出去的人们要么是犯下精灵法则被迫流放离开的，或者要么就是作为使节抱着为精灵的文化和社会带来更大利益的目的前往费伦大陆。
哈鲁阿Halruaa。 位于光耀之海的南部边缘，群山环绕处坐落著法师之国哈鲁阿。众所周知，哈鲁阿的法师议会是费伦大陆中一片最神奇的地方。许多人都听说在哈鲁阿有着奇怪的天空之船，船帆上有着哈鲁阿的标记，此外也有很少部分人传闻在哈鲁阿即使是小孩都可以施展法术。
哈鲁阿人通常是因为自己个人的原因在费伦大陆上旅行，由于它们的政府严格反对人民未经许可参与到其他的国家组织或政治中，你可能会是一个违反了哈鲁阿许多错综复杂的法律而被流放的人，亦或者也可以是一个寻找魔法之神圣地的朝圣者。
卡拉图Kara-Tur。 在费伦大陆遥远的东方，坐落着卡拉图大陆，上面的居民有着与剑湾人民完全不同的风俗习惯。如果你是来自卡拉图，费伦的人民可能会称你为Shou，即使这不是你真正的种族，因为这是他们称呼你和与你有着相同起源的人们的统称术语。
卡拉图人偶尔会作为外交官或是为了和其他贸易联盟建立起贸易关系而旅行至费伦大陆。你作为一些这样的代表团中的一员来到了费伦，并且在任务结束之后决定留下来。
穆罕瑞德Mulhorand。 穆罕瑞德是费伦大陆上残存的古老帝国之一，几千年来都由神祇的转生体神王直接统治。几乎所有关于穆罕瑞德的风俗习惯都与剑湾大不相同。离开沙漠来到完全陌生的费伦北地的你可能会受到不小的文化差异冲击。不过最近一件发生在你故乡的事件是穆罕瑞德已经废除了奴隶制度并相应增加与其他各地之间的交通。
那些离开穆罕瑞德闷热沙漠和古老金字塔的人们可能会出于很多种原因。你可能会来到北地仅仅是因为满足看看这个潮湿土地提供的陌生感，亦或者你在沙漠之中有着太多的敌人存在。
索萨尔Sossal。很少人听说过你的故乡，但是很多人会在遇见你之后询问你故乡的事情。来自索萨尔的人像是从雪中精心制作的艺术品一样，有着光洁的皮肤和雪白的头发，并穿着白色的衣服。
索萨尔离北地非常遥远，在它的北面是没有止境的冰川，在它的另一侧则是延绵数百里的大冰川和大冰海。没有一个人不是由于某种确信的原因跨越如此巨大的障碍而离开索萨尔，也许是你恐惧冰川中某些真正可怕之物，或是为了寻找某些非常重要的东西。
札卡拉Zakhara。对于费伦大陆中知道这个地方的人都有句俗话,“要去扎卡拉，你要往南走，然后在往更南走。”当然，你从你的故乡来到北地也是沿着相同的路从南方而来。虽然在扎卡拉，和费伦大陆最南端进行贸易活动也是非常罕见的，但也有一些扎卡拉人会流浪远离他们的家乡。
你可能是为了发现在你家乡沙漠和剑型山脉之外的奇迹之地，或者也许你是一个为了能够更好的了解你信仰的上神而前往其他地方朝圣的朝圣者。
幽暗地域The Underdark。尽管你在地理位置上比其他上述的偏远之地更接近于剑湾，但是它却也是一片远离剑湾的地方。你来自许多处幽暗地域的定居点中的一个，其中每个定居点都有它自己奇怪的习俗和法律。如果你土生土长在幽暗地域中的一座地下城市或是定居点，你可能是占领此处的种族中的一员，亦或者是被俘虏后在这里生活，也可能是在你还是孩子的时候被带到了这里，现在已经在此地长大成人。
如果你是一个真正的幽暗地域人，你可能是为了作为你们族人的使节，亦或是为了摆脱被指控的犯罪行为（不管是否为莫须有）而来到地表。如果你不是本地人，你的原因可能是与摆脱现在糟糕的处境而离“家”出走。</t>
    <phoneticPr fontId="49" type="noConversion"/>
  </si>
  <si>
    <t>遗产Inheritance。从下表中自选或者随机选取一项你继承的遗产。你要和你的地下城主一起讨论决定出细节：你的遗产为何那么重要，它拥怎样的故事？你可以让DM把这部分内容加到整个游戏故事中，通过剧情让你和角色更进一步了解该遗产的故事。</t>
  </si>
  <si>
    <t>建议特征Suggested Characteristics
使用 《玩家手册》中“平民英雄”的特征表格作为你的基础特征和动机，并在适当的时候修改条目以让其符合你作为继承者的身份。
你的羁绊可能会与你的继承物直接相关，或可能会是你从之接收到继承物的某人。你的理念可能会受到你对继承物了解的影响，或可能被在你所得到赠礼所能做到的事给影响。</t>
    <phoneticPr fontId="49" type="noConversion"/>
  </si>
  <si>
    <t>骑士的敬重KnightlyRegard。你会获得来自所属骑士团其他成员和那些与骑士团有相同目标之人的救助与庇护。如果你的教团是个宗教骑士团，则你还可以从所信仰神灵的神庙和其他宗教团体中获得帮助。服务于城市的骑士团（不管是为单独的聚居地服务还是为一个国家的人民服务）可以从其服务对象处寻求帮助。服务于某种哲念的骑士团，则可以从其自身为贯彻其理念而帮助之人，或者与其理念相同之人处获得帮助。</t>
  </si>
  <si>
    <t>费伦的骑士团 Knightly Orders of Faerun
独角兽骑士Knights of the Unicorn.
独角兽骑士一开始是由博德之门官僚家族的子女们对自由浪漫的追寻一时兴起而建立的教团。他们将独角兽女神拉芮Lurue作为他们的幸运神，骑马闯荡为了乐趣而冒险。用拉芮女神的原则来面对会出现的危险。随着时间的推移，这个小群体逐渐增长和传播开来，获得了甚至远自科米尔地区的人们追随。独角兽骑士们是有着骑士精神的冒险家，追随浪漫的理想：生活是多姿多彩的，生活是应该充满欢笑的，挑战并完成任务，追寻不可能的梦想，所有人都应该为他们的力量而获得赞美，为他们的弱点而获得安慰。
密斯卓诺骑士Knights of Myth Drannor.
很久以前，密斯卓诺骑士团是一个非常有名的冒险团队，多芙·鹰手，著名的七姐妹中的一人就是其中的一员。这个过去式的团队是为了纪念曾经伟大但是陷落的城市而命名的，如今新建立的密斯卓诺骑士团也是如此。当这座城市再一次变为废墟时，多芙·鹰手决定要改革这个团体，把主要目标定为与世界上其他文明种族建立盟友关系，和善良的人们共同对抗邪恶。现在密斯卓诺骑士们再次骑行在谷地的大路上，他们已经开始向谷地之外的土地传播自己的理念，招收新人。每一个被多芙接纳成为骑士团一员的人，都是充满了勇气和忠诚之人。
圣杯骑士Knights of the Silver Chalice.
圣杯骑士团在一个世纪以前由半神赛雅茉芙（Siamorphe）颁布法令而成立。赛雅茉芙的精神是高贵的权利并有责任去执行它。这个半神通常每一代都会化身成不同的凡人贵族。</t>
    <phoneticPr fontId="49" type="noConversion"/>
  </si>
  <si>
    <t>佣兵生涯MercenaryLife。你拥有的生活经历，只有曾同样从事过佣兵生涯之人才能体会。你只要看到对方的徽记就能辨认出相应的佣兵团，你还知道该军团的某些情报，包括其指挥官和领导者的名字和声誉，以及最近雇佣他们的是何人。只要能说相应的语言，你在任何地方都能找到这些佣兵混迹的酒馆或宴会地。你总能在冒险中通过佣兵工作找到足够的钱来维持舒适程度的生活（见《玩家手册》第8章“修整期活动”下的“专业实践”）。</t>
  </si>
  <si>
    <t>北地的佣兵团 Mercenaries of the North
无数佣兵团在剑湾和北地各处来回。其中大多是小规模行动，比如雇佣十几人至上百人以提供安保服务，狩猎怪物和土匪，或是为换得黄金而发动战争。一些组织如“散塔林会”“焰拳 FlamingFist”和“明檀 Mintarn”的本国都保有成百上千的成员供他人以足够资金雇佣为私人军队。下面介绍一些在北地运作的相关组织。
寒爪 The Chill 。 
寒冷而神秘的“潜行森林 Lurkwood”是无数的类地精团体的家园，它们联合起来组成一个叫“寒爪 the Chill”的部落。跟大多数同类不一样，寒爪兵团并不会去袭击北地的居民，反而与之保持相对良好的关系，以此让对方雇佣自己作战。北地的各城邦很少会让自建的军队与寒爪并肩作战，但其中的几个国家会轻松愉快的付钱雇寒爪去对抗永恒荒野 Evermoors 的乌斯伽人 Uthgardt、兽人和巨魔，乃至其他威胁自己的文明。
静雨 Silent Rain 。 
全员由精灵组成的静雨，是个从艾弗瑞思卡 Evereska 内运营的传奇雇佣兵团。静雨不关心金子或名声，他们只接受促进精灵事业或摧毁兽人、豺狼人之类生物的工作。发出委托的雇主必须先在艾弗瑞斯卡附近留下书面文本（以精灵语撰写），如果静雨兵团对委托有意，就会派出一名代表与对方接触。
血斧 Bloodaxes 。
 约两个世纪前在桑达巴 Sundabar 建立的血斧最初只是一群因违反“铸魂者摩拉丁 Moradin Soulforger”其教义，而获罪被逐出自己氏族的矮人。于是他们开始以雇佣兵的方式为任何付得起钱的北地人服务。自那以后，该佣兵团开始接纳其他种族作自家成员，但其中的人或多或少都身为流亡者、罪犯或被排挤的异类，而他们最终都会将血斧当做自己新的开始和新的家园。</t>
    <phoneticPr fontId="49" type="noConversion"/>
  </si>
  <si>
    <t>耳目众多EartotheGround。你经常与所选定猎物途径地区的社会人士接触。这些人可能与黑社会罪犯、街头莽汉或上流社会成员相关联。这种联系其形式为，每个你所访问的城市都存在一名相应的联络人，该人物会为你提供当地人文和地理的各种相关情报。</t>
  </si>
  <si>
    <t>建议特征 Suggested Characteristics
使用 《玩家手册》 中“罪犯”的特征表格作为你的基础特征和动机，并在适当的时候修改条目以让其符合你作为城市猎人的身份。
例如，你的牵绊可能与其他赏金猎人或某雇佣你的组织或个人相关。你的理想可能与你抓捕目标猎物的决心相关，或是与你获得可靠名声的渴望相关。</t>
    <phoneticPr fontId="49" type="noConversion"/>
  </si>
  <si>
    <t>乌斯伽之传承UthgardtHeritage。你不仅彻底了解自己部族之领地，还清楚北地其他地区的地形和自然资源。你熟悉所有的野外地区，而你在那里找到的食物和水的数量是平时的两倍。另外，你可以唤起他人的好客之道。受你该影响的对象包括你的同胞，以及那些与你部族结盟之人，通常包括有德鲁伊结社、精灵游牧部族、竖琴手同盟等团体的成员，以及那些献身于“第一结社FirstCircle”众神的祭祀者。</t>
  </si>
  <si>
    <t>建议特征 Suggested Characteristics
使用 《玩家手册》中“化外之民”的特征表格作为你的基础特征和动机，并在适当的时候修改条目以让其符合你作为乌斯伽部族成员的身份。
即使已经离开了自己的部族（至少现在是这样），但你仍坚持以同胞的传统过活。你绝不会砍下一棵仍活着的树，且不会不赞同相同的事在眼前发生。乌斯伽人的“祖丘 ancestral mounds”——作为乌斯伽保护其图腾精魂所在，以及部族各英雄埋葬之处的大丘陵，被你视为神圣之地。
你的牵绊很可能与你的部族或某些乌斯伽人的哲念或文化相关（甚至可能与乌斯伽自身相关）。你的理想是个人的选择，它可能与你同胞的风土人情密切相关，当然也不会与你身为乌斯伽人所代表的其他东西相违背或妥协。
费伦的野蛮人部族 Barbarian Tribes of Faerun
虽然本节只介绍了乌斯伽民族，但其内容以及 《玩家手册》的“化外之民”背景都可用于源自其他费伦野蛮人部族的角色。你可以是个一头金发的瑞格 Reghed 野蛮人，住在远离北地靠近“冰风谷 lcewind Dale”的“瑞格冰川 Reghed Glacier”阴影之下。你也可以是因野蛮狂战士和戴着面具巫婆而出名的莱瑟曼Rashmi 游牧民。你也许来自“琼达尔森林 Chondalwood”的某个木精灵部族，或是来自楚尔特 Chult 闷热丛林里的某个充满魔法的人类部族中。</t>
    <phoneticPr fontId="49" type="noConversion"/>
  </si>
  <si>
    <t>保持风度KeptinStyle。在深水城或北地其他地方时，你的家族会确保你的每日的日常用度。你的名字与玺印就足以支付大部分的费用，而你经常光顾的旅店、酒馆和餐馆都很乐于记下你的债务，并将账单寄给你的家人以解决你欠下的债务。这种优势使你能过上舒适的生活，而不必每天支付2gp的费用，也可以减少富裕或奢华程度生活的成本。你不能以更低价的生活方式来将这只生活费当做收入——这种得益属于信用体系，而不是明确的货币奖励。</t>
  </si>
  <si>
    <t>建议特征 Suggested Characteristics
使用 《玩家手册》 中“贵族”的特征表格作为你的基础特征和动机，并在适当的时候修改条目以让其符合你作为深水城贵族的身份。
和其他贵族一样，你出生和成长的世界与大多数人的认知不同——这是种给予你特权，但同时也要求你履行相应义务的身份。你的牵绊可能与所属家族相关，也可能与另一个与所属家族同盟或敌对的贵族家族相关。你的理想某种程度上取决于你如何看待自己在家庭中的角色，以及你打算如何在世上表现你作为家族代表的身份。</t>
    <phoneticPr fontId="49" type="noConversion"/>
  </si>
  <si>
    <t>法律权威Legal Authority。你有权在拉尼卡进行执法活动，这种权利通常会激起民众的尊重以及一定程度上的恐惧。在你面前，任何人都会下意识的注意自己的举止，并避免引起你的注意。同时，民众们也认为你有权出现在任何地方。
出示你的俄佐立徽记，你可以要求任何一位平民接受你的询问（尽管当你在处理无可救药的违法者时，这么做通常会引发更多的麻烦）。如果你滥用这项权利，你有可能被上级申斥，甚至被剥夺职务。</t>
    <phoneticPr fontId="49" type="noConversion"/>
  </si>
  <si>
    <t>俄佐立公会法术
前置要求：施法能力或契约魔法职业特性
你可以将俄佐立公会法术表中的法术添加到你的法术列表中。（如果你的角色是兼职角色且拥有多个法术表，将这些法术添加到所有法术表当中）
戏法：交友术，传讯术
1环：命令术，诱捕打击
2环：秘法锁，安定心神，人类定身术
3环：鹰眼术，法术反制
4环：强迫术，预言术
5环：支配人类
你的法术通常表现为蓝色或者金色的符文的形式，在空中形成圆形图案或是闪烁的天蓝色屏障。例如，当你释放诱捕打击时，该法术会创造出数条闪光的符文光环——而不是多刺藤蔓——束缚你的目标。</t>
    <phoneticPr fontId="49" type="noConversion"/>
  </si>
  <si>
    <t>特性：波洛斯据点
你被派往波洛斯教团的一处据点服役。你可以向任意一处波洛斯的要塞驻军临时借用简易武器，同时，你有进入拉尼卡任意一座波洛斯要塞进行休息的权限。在要塞中休息时，你会受到安全的保护以及医疗照顾。此外，你每周可以收到1gp（波洛斯发行的1齐诺硬币）以及一间位于你驻扎的要塞中的宿舍来维持至少【穷困】的生活水平。</t>
    <phoneticPr fontId="49" type="noConversion"/>
  </si>
  <si>
    <t>波洛斯公会法术
前置要求：施法能力或契约魔法职业特性
你可以将波洛斯公会法术表中的法术添加到你的法术列表中。（如果你的角色是兼职角色且拥有多个法术表，将这些法术添加到所有法术表当中）
法术表
戏法：火焰箭，圣火术
1环：光导箭，英雄气概
2环：援助术，灼热射线
3环：希望信标，致盲斩
4环：防死结界，火墙术
5环：焰击术
你的魔法大多表现为迸发的火焰或夺目的光辉。当你对你的友军释放增益法术时，他们会被明亮的火焰光环所环绕。</t>
    <phoneticPr fontId="49" type="noConversion"/>
  </si>
  <si>
    <t>虚假身份False Identity。你拥有多个身份，你大多数时间里披着的外衣让你看起来似乎是底密尔之外的其他公会的一名成员。你具有的文件，人际关系和伪装让你能够担任这个角色并融入到你的第二个公会里。
你也可以在任何时候抛弃掉这层身份并融入到城市的无属者群体里。
想想你为什么被安插在第二个公会里。按照下表投骰决定或选择一个适合你的，然后与你的DM创造一个故事。
D8   渗透原因
1    我的父母属于这个公会，而我想要让他们认为我依旧跟随着他们的道路。
2    我被指派追踪这个公会的行动。
3    我被指派接近这个公会里的一个人来获取他们的秘密。
4    我被指派从这个公会的阶层中新招募一位底密尔间谍。
5    在底密尔招募我之前我就是这个公会的成员。
6    我不喜欢这个公会所代表的一切并想从内部毁灭它。
7    我私底下希望能离开底密尔并加入这个公会，但是在底密尔，没有“逃离”这个词。
8    我只是随便选了一个公会或者根本没想过为什么。</t>
    <phoneticPr fontId="49" type="noConversion"/>
  </si>
  <si>
    <t>底密尔公会法术
前置要求：施法能力或契约魔法职业特性
你可以将底密尔公会法术表中的法术添加到你的法术列表中。（如果你的角色是兼职角色且拥有多个法术表，将这些法术添加到所有法术表当中）
法术表
戏法：思想编码Encode Thoughts、法师之手Mage Hand
1环：易容术Disguise Self、睡眠术Sleep
2环：侦测思想Detect Thoughts、踏雪无痕Pass Without Trace
3环：气化形态Gaseous form、融身入石Meld into stone、回避侦测Nondetection
4环：秘法眼Arcane Eye、自由行动Freedom of Movement
5环：修改记忆Modify Memory
你的魔法永远是微妙而无法察觉的，但是当你施展法术时会在你身边聚集起暗影或云雾。使用下面描述的戏法：思想编码Encode Thoughts，你能将一个生物（包括你自己）的思想转变为其他人可以读取、分享或盗取的思想链。这些思想链在底密尔被视为被视为有价值的货币。</t>
    <phoneticPr fontId="49" type="noConversion"/>
  </si>
  <si>
    <t xml:space="preserve">地底城通路Undercity Paths。你通晓地下的道路，他们能帮你绕开人群，障碍和监视，走遍全城。当你不在战斗中时，你和你带领的伙伴可以以比平时两倍的速度从城内的任意地点到达另一地点。这些地底城通路中潜伏着不会在地表世界的阳光下出现的各种危险，你们的旅途不一定一帆风顺。
</t>
    <phoneticPr fontId="49" type="noConversion"/>
  </si>
  <si>
    <t>葛加理公会法术
前置要求：有施法能力或是有契约法术能力
对你而言，葛加理的公会法术表会自动加入你的施法职业的法术表中（如果你操控一个有多个法术表的兼职角色，公会法术表会自动加入所有的施法法术表中）
葛加理公会法术
戏法：舞光术，维生术
一环：纠缠术，致病射线
二环：防护毒素，衰弱射线，蛛行术
三环：活化死尸，植物滋长
四环：巨虫术， 攫人藤蔓
五环：死云术， 疫病虫群 
葛加理的法术通常都伴随着病态的绿光和腐朽的恶臭。</t>
    <phoneticPr fontId="49" type="noConversion"/>
  </si>
  <si>
    <t>瓦砾区难民Rubblebelt Refuge。你十分熟悉那些城市中大多数人通常会回避的区域：亚龙暴乱导致荒废的临近街区，数十年中从未有人照料导致过度生长的公园，文明种族废弃长久的，广阔的，不断蔓延的，充斥着破碎地形的瓦砾区。你可以
找到一个适合你和你队友的地方来隐藏或休息在这些区域。额外的，你每天可以在这些区域为你自己和至多五个人找到食物和新鲜的水源。</t>
    <phoneticPr fontId="49" type="noConversion"/>
  </si>
  <si>
    <t>古鲁公会法术
先决条件：施法职业或契约魔法专长
对你而言，古鲁公会魔法表中的法术将加入到你的施法职业法术列表中。（如果你有兼职职业拥有法术列
表，这些法术也将全部加入该法术列表。）
——————————————————————————————————————————
   古鲁公会法术   |      spells
——————————————————————————————————————————
   戏法      |   火焰箭，燃火术
——————————————————————————————————————————
   1环      |   强令对决，动物交谈，雷鸣波
——————————————————————————————————————————
   2环      |   野兽直觉，粉碎音波
——————————————————————————————————————————
   3环      |   召唤动物，召唤箭雨
——————————————————————————————————————————
   4环      |   支配野兽，石肤术
——————————————————————————————————————————
   5环      |   湮灭波
  5环      |   湮灭波
——————————————————————————————————————————
由你心中无尽愤怒所燃烧的火焰助燃，你的魔法几乎总是伴随着燃烧的效果，例如火光在你眼中闪烁，烈
焰在你手中起舞。</t>
    <phoneticPr fontId="49" type="noConversion"/>
  </si>
  <si>
    <t>城市基建Urban Infrastructure。伊捷联盟的流行概念基于疯狂的发明、危险的实验和剧烈的爆炸。这个观点大部分是准确的，但是联盟也会参与到建设和建造的世俗任务中，主要是修建基础设施，让拉尼卡人享受自来水、悬浮平台，以及其他魔法的又科技的奇迹。
你建筑物的结构，包括墙后的材质有基本的了解。您还可以找到某栋建筑的蓝图，以便了解其构造的细节。这样的蓝图可以为你提供切入点、结构弱点或秘密空间等知识。你获得这些信息的途径不是毫无限制的。如果获得或使用这些信息使你陷入法律困境，公会也不能保护你免受影响。</t>
    <phoneticPr fontId="49" type="noConversion"/>
  </si>
  <si>
    <t>伊捷公会法术
前置要求：施法能力或契约魔法职业特性
你可以将伊捷公会法术表中的法术添加到你的法术列表中。（如果你的角色是兼职角色且拥有多个法术表，将这些法术添加到所有法术表当中）
法术表
戏法：燃火术Produce Flame、电爪术Shocking Grasp
1环：混乱箭Chaos Bolt、造水/销水术Create or Destroy Water
2环：灼热金属Heat Metal、魔绳术Rope Trick
3环：召唤闪电Call Lightning、元素武器Elemental Weapon、守卫结界Glyph of Warding
4环：召唤次级元素生物Conjure Minor Elementals、预言术Divination、欧提路克弹力法球Otiluke's resilient sphere
5环：活化物品Animate Objects、召唤元素生物Conjure Elemental
你的法术即使其效果实际上并不明显，往往也是十分响亮的、耀眼的或具有爆炸性的。例如，当您打开魔绳术法术的入口时，该入口的轮廓可能是由无害的艳丽的火花构成的。
如果你需要使用奥术法器，它可能是一种包括金属护手，玻璃气罐，黄铜导管和用来固定在你身上的皮革背带在内的一套复杂装置。在第5章中描述的米捷装置Mizzium Apparatus是这种装置的魔法物品版本。
混乱箭法术因为其不可预测的性质成为了伊捷施法者的最爱。</t>
    <phoneticPr fontId="49" type="noConversion"/>
  </si>
  <si>
    <t xml:space="preserve">利用 Leverage。你可以在公会的层级中对低于您的一个或多个个人施加影响，并根据需要请求他们的帮助。例如，你可以让人带着信息穿过一个街区，免费搭乘一辆短途马车，或者让别人帮你清理在小巷里留下的血迹。DM决定你的要求是否合理，是否有下级成员可以满足它们。随着你在公会中地位的提高，你会对更多的人产生影响，包括那些拥有更大权力的人。
</t>
    <phoneticPr fontId="49" type="noConversion"/>
  </si>
  <si>
    <t>欧佐夫公会法术 Orzhov Guild Spells
先决条件：施法能力或契约魔法特性
对你而言，欧佐夫公会法术表上的法术被添加到你的法术施法类的法术列表中。(如果你是一个拥有多个法术列表的多职业角色，这些法术会被添加到所有的法术中。)
欧佐夫公会法术 Orzhov Guild Spells
施法等级           法术
戏法                友善术，神导术
1st                 命令术，迷幻手稿
2nd                 注目术，衰弱射线，诚实之域
3rd                  降咒，死者交谈，灵体卫士
4th                  枯萎术，防死结界，李欧蒙秘藏箱
5th                  指使术
你的魔法往往表现为旋转的阴影、灿烂的光芒，有时也表现为幽灵形态的短暂出现。你的咒语可能会吸敌人的血，甚至直接触及他们的灵魂。</t>
    <phoneticPr fontId="49" type="noConversion"/>
  </si>
  <si>
    <t>劣迹昭著Fearsome Reputation。
人们把你定义为拉铎斯的信徒，他们小心翼翼的，来不引起你的怒火或嘲弄。如果没有被法律权威目击，你可以不受轻微犯罪的影响，比如在餐馆拒绝付餐费，或者在当地商店破门而入。大多数人被你吓得不敢向俄佐立人报告你的罪行。</t>
    <phoneticPr fontId="49" type="noConversion"/>
  </si>
  <si>
    <t>拉铎斯教派法术
先决条件：施法职业或契约魔法专长
对你而言，拉铎斯教派魔法表中的法术将加入到你的施法职业法术列表中。（如果你有兼职职业拥有法术列表，这些法术
也将全部加入该法术列表。）
——————————————————————————————————————————————————
   法术等级   |　　　　 法术
——————————————————————————————————————————————————
   戏法   |   火焰箭，恶言相加
——————————————————————————————————————————————————
   1级   |   燃烧之手，不谐低语，炼狱叱喝
——————————————————————————————————————————————————
   2级   |   疯狂冠冕，注目术，炽焰法球
——————————————————————————————————————————————————
   3级   |   恐惧术，加速术
——————————————————————————————————————————————————
   4级   |   困惑术，火墙术
——————————————————————————————————————————————————
   5级   |   支配人类
——————————————————————————————————————————————————
你的魔法通常会产生一种闪光效果，将你或你的目标包围在无害的火焰和阴影之中。当你操纵对手的思想时，一个燃烧着的
拉铎斯符号可能会暂时出现在目标的脸上，就像一个面具。</t>
    <phoneticPr fontId="49" type="noConversion"/>
  </si>
  <si>
    <t>盟会庇护所Conclave's Shelter。作为瑟雷尼亚盟会的成员，你可以向公会中的同伴们请求庇护与援助。你和你的同伴可以进入拉尼卡的任意一处瑟雷尼亚盟地休息和躲藏——除非你被证明对该盟地产生了威胁。盟地成员将会保护你免受法律或是任何其他找麻烦的人的伤害，尽管他们不会冒生命危险做这些事。
此外，作为公会成员，你可以在瑟雷尼亚盟地获得免费的治疗和护理，但你必须提供法术所必需的材料。</t>
    <phoneticPr fontId="49" type="noConversion"/>
  </si>
  <si>
    <t>瑟雷尼亚公会法术
前置要求：施法能力或契约魔法职业特性
你可以将瑟雷尼亚公会法术表中的法术添加到你的法术列表中。（如果你的角色是兼职角色且拥有多个法术表，将这些法术添加到所有法术表当中）
法术表
戏法：德鲁伊伎俩，交友术
1环：化兽为友，魅惑人类
2环：援助术，动物信使，安定心神，守护之链
3环：植物滋长，植物交谈
4环：生命灵光，召唤次级元素生物
5环：启蒙术，问道自然
瑟雷尼亚成员称他们的魔法为“doruvati”，是木族语中“礼物”的意思。当你使用这些太瑟雷尼亚的赠礼时，你的周围可能会出现优美的绿色和银色漩涡在空气中舞蹈，幻影般的绿叶在空中飘荡。你的法术同时可能会伴随着如沐春风的感觉以及春天的鲜花或是秋天的落叶的气味。</t>
    <phoneticPr fontId="49" type="noConversion"/>
  </si>
  <si>
    <t>研究者Researcher。当你需要学习或是记起某段魔法或科学的学识时，就算你并不清楚其具体信息，也总能知道从何处或何人身上着手获取。这些情报通常来自析米克实验室，有时也会来自伊捷设施、图书馆、大学、甚至是其他某个智者或某个知道相关知识的人或生物。知道哪里可以找到信息并不会自动让你学会它;你可能需要贿赂、恩惠或其他激励来诱使人们透露他们的秘密。
鉴于发掘多元宇宙最深的秘密有时会需要整趟的冒险甚至是整个战役，你的 DM可能会设定这段情报的所在是一个遥不可及的地方，或者直接将其定义为无法找到。</t>
    <phoneticPr fontId="49" type="noConversion"/>
  </si>
  <si>
    <t>析米克公会法术
先决条件:施法能力或契约魔法特性
对你来说，析米克公会法术表上的法术将被添加到你的施法者职业的法术列表中。(如果你是一个拥有多个法术列表的多职业角色，这些法术会被添加到你所有的法术列表中。)
析米克公会法术表
戏法     酸液飞溅，德鲁伊伎俩
1环      侦测毒性和疾病，脚底抹油，跳跃术
2环      变身术，强化属性，变巨/缩小术
3环      气化形体，水中呼吸，风墙术
4环      行动自如，变形术
5环      造物术
当你的魔法使你自己或他人的身体发生变化时，结果往往显示出鱼、两栖动物或其他水生生物的特征。有时伴随着你的施法，会产生带有魔法能量的蓝绿色漩涡，其反映了自然精确完美的螺旋。</t>
    <phoneticPr fontId="49" type="noConversion"/>
  </si>
  <si>
    <t>家族背景House Connections。你身为你家族的代理人，总是能够在家族飞地中为自己和朋友获得食宿。当家族给你任务时，通常会为你提供必要的补给和交通。除此之外，你在家族中还有很多老朋友、导师和竞争对手，当你在为家族工作时，可能会遇到其中之一。身为一名林兰德家族代理人，你可能认识一艘飞空艇的船长；身为一名伽兰达家族的代理人，你会认识很多旅馆老板和调酒师。这些熟人会帮你多大的忙取决于你目前在家族中的地位。</t>
    <phoneticPr fontId="49" type="noConversion"/>
  </si>
  <si>
    <t>职责
你总是在为你的家族收集信息。但当男爵们为了特殊的任务前来找你时，你通常在干什么工作呢？通过选择或掷骰从下表中决定你的职责。
表格：职责
d8
1 采购
2 调查 
3 研发
4 安保
5 恐吓
6 探索
7 谈判
8 地下活动</t>
    <phoneticPr fontId="49" type="noConversion"/>
  </si>
  <si>
    <t>攀亲带故Name Dropping。你知道，也见过各地许多有权势的人 — 其中一些人甚至可能还记得你。 你也许能从战役中的主要人物那里争取到一些次要的帮助，这是由 DM 决定的。 此外，普通人对你很尊重， 你的血缘和你讲的故事可能是免费的一顿饭或一个睡觉的地方。</t>
    <phoneticPr fontId="49" type="noConversion"/>
  </si>
  <si>
    <t>建议的特征 Suggested Characteristics
明星冒险家的后代必需面对不属于他们的名声，他们没有挣到的财富，以及他们永远不可能实现的期望。这些困难可能会产生负面影响，但那些能够克服它们的人可以获得一种体面的态度和一种脚踏实地的世界观。那些失败的人变得更加痛苦，甚至更糟。</t>
    <phoneticPr fontId="49" type="noConversion"/>
  </si>
  <si>
    <t>供应链Supply Chain。从你作为一个商人的时候起，你就与批发商、供应商以及其他商人和企业家保持着联系。 您可以在查找物品或信息时调用这些联系。</t>
    <phoneticPr fontId="49" type="noConversion"/>
  </si>
  <si>
    <t>建议的特征 Suggested Characteristics
作为一名商人，要有数字头脑、坚强的个性、与敌对对手达成交易的能力、打击强盗的强大剑锋，以及知道人们想要什么和需要什么的直觉。商业的艺术是寻找最佳盈利途径的艺术，而这条途径可能因每笔交易而异。成功需要坚强的意志和坚强的意志。那你为什么失败呢?</t>
    <phoneticPr fontId="49" type="noConversion"/>
  </si>
  <si>
    <t>永远不要告诉我赔率Never Tell Me the Odds。胜算和概率是你的谋生之道。 在休整日活动中，包括机会游戏或计算最佳计划的赔率，您可以得到一个可靠的感觉，哪些选择可能是最好的，哪些机会似乎太好而不真实，由 DM 的决定。</t>
    <phoneticPr fontId="49" type="noConversion"/>
  </si>
  <si>
    <t>建议的特征 Suggested Characteristics
有些人是出于必要而赌博。其他人这样做是出于无聊。还有一些人沉迷于运气好的时候赢得或失去一切的刺激。对一些人来说，赌博不是机会的问题，而是为了确保结果而寻求每一个优势的问题。最好的赌徒可能会输掉一切，而最差的赌徒有时会赢。无论如何，你总能从赌徒的眼神中看出他们是谁。幸运女神总是缠着他们。</t>
    <phoneticPr fontId="49" type="noConversion"/>
  </si>
  <si>
    <t>法律术语Legalese。你在当地法律制度方面的经验使你对该制度的来龙去脉有了牢固的认识。即使法律不站在你这一边，你也可以使用一些复杂的术语，比如 ex juria jus non oritur (权利不能来自违法行为。)和 cogitationis poenam nemo patitur (任何人不因仅有意图而受处罚。)，来吓唬人们，让他们以为你知道自己在说什么。 对于那些不了解的普通人，你可能会通过威吓或欺瞒来获得帮助或特殊待遇。</t>
    <phoneticPr fontId="49" type="noConversion"/>
  </si>
  <si>
    <t>建议的特征 Suggested Characteristics
原告有很多种。有些人是无辜的旁观者，他们只想得到公平的伤害赔偿。还有一些人是专业的法庭操作人员，为了获得巨额赔偿，他们竭尽全力装出一副被冤枉的样子。</t>
    <phoneticPr fontId="49" type="noConversion"/>
  </si>
  <si>
    <t>内部线人Inside Informant。你和你以前的雇主或你以前工作中接触过的其他团体有联系。您可以与您的联系人通信，获取信息的 DM 的自由裁量权。</t>
    <phoneticPr fontId="49" type="noConversion"/>
  </si>
  <si>
    <t>建议的特征 Suggested Characteristics
如果你对之前的实习感到满意，那么这次的分手可能是友好的。如果没有，可能是武装警卫把你从房子里带走了。如果你在上一份工作中被忽略，你可能会感到愤怒、习惯性的冷漠，以及对尸体埋葬地点的敏锐认知(也许是字面意思)交织在一起。</t>
    <phoneticPr fontId="49" type="noConversion"/>
  </si>
  <si>
    <t>傻笑歌谣Ballad of the Grinning Fool。像其他自由斗士一样，你知道如何找到藏身之处。在集会海岸或敦达里安帝国中任何人口过万的城市中，你都可以在当地最大的酒馆或旅店中演奏傻笑歌谣暗示自己的身份，之后将有当地金色笑脸的同志联络你并为你和你愿意信任的同伴提供庇护所。如果DM认为隐藏你过于危险也可以决定废弃庇护所。这个特性使用时必须谨慎，因为知道这首歌曲的人除了你的战友，还可能会是叛徒、特务、或是其他独裁者的走狗。</t>
    <phoneticPr fontId="49" type="noConversion"/>
  </si>
  <si>
    <t>偏好乐曲 Favorite Code-Song
每位金色笑脸的同志都会在旅途中学习几首民歌，并能够利用这些歌曲传递秘密代码或在危险时警告其他同伴，选择一首偏好乐曲，或者掷骰随机决定。
偏好乐曲
d6 曲目
1 赞斯归来：一首描绘正直统治者终将出现的充满希望的塔尔多雷民谣，可以用来寻找潜在的盟友
2 大火烧遍海岸：一首讲述炸沉海盗船的喧闹的克洛维斯联会战斗小调，可以用来激励战斗
3 嘘！前方有龙：一首回忆红龙“灰烬王”入侵后恐怖日子的塔尔多雷民歌，可以用来提醒谨言慎行
4 让剑生锈吧：一首传唱故事已无法确定的反战的马奎特颂歌，可以用来平息暴力冲突
5 李哥继续喝：一首嘲笑喝高的少年们在断片后偷渡上船的集会海岸轮舞曲，可以用来劝告在交际时保持清醒
6 翡翠火焰的挽歌：一首据称包含众多晦涩诗句的精灵歌曲，可以用前两节来传播死亡或失败的信息</t>
    <phoneticPr fontId="49" type="noConversion"/>
  </si>
  <si>
    <t>影子网络Shadow Network。你可以通过使用影子网络与其他成员进行远距离的通信，如果你用一种特殊的奥术墨水书写信件和地址，并将信投入火中，它将会在烧尽后直接出现在收件特工的身上。
类似法师们抄写魔法书时的墨水成本，通过这种墨水所写的每封信也需要花费10GP。</t>
    <phoneticPr fontId="49" type="noConversion"/>
  </si>
  <si>
    <t>悲剧 Tragedy
沃什塔克特工从不招募幸福的人，三头犬密会只会选择那些被灾难毁掉人生的天才（有时甚至还会指使沃什塔克主动制造一些人的灾难），因为他们认为只有心碎的人才更易于被洗脑。选择一项悲剧，或者掷骰随机决定。
悲剧
d6 悲剧
1 弑亲：通过欺骗或操纵，沃什塔克让你杀害了自己的至亲。
2 失忆：你被迫学习有害身心的魔法，以致在走火入魔之后失去了过去的记忆。
3 被俘：你被克灵王朝俘虏并残遭折磨，勉强才逃了出来。
4 饥荒：一场使植物全部枯萎的可怕疫病席卷了你的家乡，你的亲人朋友大多没有活下来，你也仅仅是勉强没有饿死。
5 毁容：你的样貌在一场出了大错的复杂实验中遭到了严重的伤害，在那之后，除了沃什塔克之外的其他人都对你避之不及。
6 变故：你原本是个富家子弟，但仿佛一刹那间，家里就已经破产了。</t>
    <phoneticPr fontId="49" type="noConversion"/>
  </si>
  <si>
    <t>胜利的回声Echoes of Victory 。你已经在曾经主办你的运动胜利的地区赢得了观众、运动员和教练的钦佩。当你访问离你长大的地方100英里以内的任何居民点时，你有50%的机会在那里找到仰慕你、愿意提供信息或临时住所的人。</t>
    <phoneticPr fontId="49" type="noConversion"/>
  </si>
  <si>
    <t>偏爱项目 Favored Event
虽然许多运动员参加各种比赛和项目，但大多数人在单一的竞赛形式中表现出色。投骰或从偏爱的项目表选择一项，以确定你擅长的运动项目。
偏爱项目Favored Event
d8   Favored Event
1   马拉松 Marathon 
2   长跑 Long-distance running 
3   摔跤 Wrestling
4   拳击 Boxing 
5   战车或赛马 Chariot or horse race 
6   潘克拉辛（混合徒手格斗）Pankration (mixed unarmed combat)
7   武装竞走（每个单位身穿全身护甲参加竞赛）Hoplite race (racing in full armor with a unit)
8   五项全能运动（跑步，跳远，掷铁饼，掷标枪，摔跤）Pentathlon (running, long jump, discus, javelin, wrestling)</t>
    <phoneticPr fontId="49" type="noConversion"/>
  </si>
  <si>
    <t>黑暗之心Heart of Darkness。那些注视你双眼的人，会发现你曾直面超出想象的恐怖，你已经熟知黑暗。尽管普通人会对你心生畏惧，但他们依然会 竭尽全力的帮助你、给与你极大的尊重。只要你不危害他们， 他们甚至会在你孤军奋战的时候拿起武器与你共同战斗。</t>
    <phoneticPr fontId="49" type="noConversion"/>
  </si>
  <si>
    <t>悲惨事件 Harrowing Event
在成为冒险者前，某个黑暗的时刻、某个宿命般的决定或者某个悲剧决定了你人生的走向。现在，你能感觉到黑暗正虎视眈眈，想要将你吞噬殆尽，而你觉得自己恐怕插翅难逃。选择一个你挥之不去的悲惨事件，或者根据悲惨事件表投骰决定。
d10  事件
1  一只怪物屠杀了许多无辜之人，唯独留你活命，而你并不知道为什么。
2  你在一颗暗星下出生。你能感觉到它以遥远而冰冷的目光注视着你。夜深人静的时候时，它不时向你发出召唤。
3  几个世纪以来，一个幽灵一直纠缠着你的家族，现在，它来找你了。你不知道它要什么，但它也不打算放过你。
4  你的家族历来习练黑暗的技艺，你涉足了一次，感到某种恐怖攫取了你的灵魂。你带着惊慌逃走了。
5  在一个漆黑寒冷的夜晚，一只恶鬼抓走了你的兄弟姊妹，而你无力阻止。
6  你曾被诅咒变成人狼，杀害了无辜的人们，现在诅咒已经解除，但死者们依然在找你作祟。
7  一只老鬼婆把你拐走并养大，你从她那儿逃了出来，但她仍然留有魔法控制你，让你心里充满了邪恶的念头。
8  你曾打开了一部可怕的书卷，里面的内容不是精神正常的人所能承受得起的，你把书烧了，但里面的文字和图画已 经烙印在你的心智里。
9  在你还是个孩子的时候就被恶魔附身了，你被锁起来了但最后设法逃脱。现在你的意识夺回了自己的身体，但恶魔 并没有被驱逐，而你正努力压制着恶魔的意识。
10  为了向谋杀挚爱的凶手复仇，你做出了可怕的事情。现在你已经变成了一个怪物，哪怕你醒着，这件事也会像噩梦 一样纠缠你。</t>
    <phoneticPr fontId="49" type="noConversion"/>
  </si>
  <si>
    <t>官方调查Official Inquir。你在接触他人和进入场所以获取你所需要的信息方面饶有经验。通过三寸不烂之舌、毅力和官方文件的结合，你可以访问一个与你正在调查的犯罪相关的地方或个人。那些没有参与你的调查的人会替你传递请求或者避免阻碍你。此外，当地执法部门对你有着坚定的看法，认为你是一个讨厌鬼，或者是一个自己人。</t>
    <phoneticPr fontId="49" type="noConversion"/>
  </si>
  <si>
    <t>神秘之路Path To Mystery
你的第一个案子影响了你感兴趣的神秘事件类型。为什么这个案子对你有如此深刻的影响，对你而言如此重要，或者给你带来了如此重大的创伤？除了你之外，它影响了谁？你如何又为何被牵扯进来？这个案子解决了吗？它是如何让你走上调查其他神秘事件的道路的？从第一个案子表中选择或投掷细节，以揭开你作为调查员职业生涯起始的谜团。
第一个案子 First Case
D8
 案例
1 你的一位朋友被指控谋杀，但他是被冤枉的，你揪出了真正的凶手，证明了你朋友的清白后开始了你的侦探生涯。
2 你被告知自己失踪了几星期，当你被找到的时候，你没有离开的记忆。现在，你正调查自己身上曾经发生了什么事。
3 你曾帮助一个灵魂找到他失踪的尸体，使他安息。自那以后，其他幽灵鬼怪客户们一直来要你帮他们得到安息。
4 你发现恐吓你家的怪物是一个残忍的魔法师创造的幻觉。使用魔法的人逃脱了，但你仍在继续揭露魔法骗局。
5 你被错误地指控并被判有罪。 你设法逃脱了，并图帮助其它人避免你遭受的经历，哪怕你现在仍然受到法律追捕。
6 误用魔法物品导致你家被摧毁，但你幸存了下来。 一个秘密组织的成员找到了你。 你现在与他们合作，追踪危险的超自然现象并防止它们造成伤害。
7 你发现了一个阴谋集团的证据。 你试图揭露这个神秘的阴谋集团，但没有人相信你。 你仍在努力证明你所知道的是真实的。
8 你在一家调查当地执法部门无法解决的犯罪的事务所找到了一份工作。 你经常想哪个对你更重要，真相还是你的薪水。</t>
    <phoneticPr fontId="49" type="noConversion"/>
  </si>
  <si>
    <t>衡鉴学徒LOREHOLD INITIATE
你获得斯翠海文学徒专长（见本章后），你必须选择衡鉴学院。
此外，如果你拥有施法或契约魔法特性， 将衡鉴法术表中的法术加入你施法职业的法术列表中。（如果你是拥有多个法术列表的兼职角色，这些法术会加入所有职业的列表中。）</t>
    <phoneticPr fontId="49" type="noConversion"/>
  </si>
  <si>
    <t>衡鉴法术LOREHOLD SPELLS
1st 通晓语言 Comprehend Languages , 鉴定术 Identify 
2nd 借鉴才学Borrowed Knowledge（见本书）, 物件定位术 Locate Object 
3rd 死者交谈 Speak with Dead ，灵体卫士 Spirit Guardians 
4th 秘法眼 Arcane Eye ，塑石术 Stone Shape 
5th 焰击术 Flame Strike ，通晓传奇 Legend Lore
考虑定制你施法时的法术外观。你的衡鉴法术可能创造出金色光芒的陈列。你也许使用书卷或卷轴为法器，你的法术效果可以反映出你所学习参阅的书的外观。</t>
    <phoneticPr fontId="49" type="noConversion"/>
  </si>
  <si>
    <t xml:space="preserve">粹丽学徒PRISMARI INITIATE
你获得斯翠海文学徒专长（见本章后），你必须选择粹丽学院。
此外，如果你拥有施法或契约魔法特性，将 粹丽法术表中的法术加入你施法职业的法术列表中。（如果你是拥有多个法术列表的兼职角色，这些法术会加入所有职业的列表中。） </t>
    <phoneticPr fontId="49" type="noConversion"/>
  </si>
  <si>
    <t>粹丽法术PRISMARI SPELLS
1st 繁彩球 Chromatic Orb , 雷鸣波 Thunderwave 
2nd 炽焰法球 Flaming Sphere, 动力短行Kinetic Jaunt（见本书） 
3rd 加速术 Haste ，水上行走 Water Walk 
4th 行动自如 Freedom of Movement ，火墙术 Wall of Fire 
5th 寒冰锥 Cone of Cold ，召唤元素生物 Conjure Elemental
考虑定制你施法时的法术外观。你在使用你的粹丽法术时可能会使用充满活力的，姿势性的移动方式——如同舞蹈一般——来满足姿势成分。就连你手上蹿动的火焰也是精雕细琢的艺术；当你猛烈地投掷法术时，多种元素之力形成宏伟的绘图。这些力量在法术消解后，也许会残留在你的身体或衣服上，留下元素彩妆——例如火花在你的头发之中跃动，你触碰的地方会留下跟随移动的霜痕。</t>
    <phoneticPr fontId="49" type="noConversion"/>
  </si>
  <si>
    <t>量析学徒QUANDRIX INITIATE
你获得斯翠海文学徒专长（见本章后），你必须选择量析学院。
此外，如果你拥有施法或契约魔法特性， 将量析法术表中的法术加入你施法职业的法术列表中。（如果你是拥有多个法术列表的兼职角色，这些法术会加入所有职业的列表中。）</t>
    <phoneticPr fontId="49" type="noConversion"/>
  </si>
  <si>
    <t>量析法术QUANDRIX SPELLS
1st 纠缠术 Entangle , 光导箭 Guiding Bolt 
2nd 变巨/缩小术 Enlarge/Reduce, 涡旋翘曲Vortex Warp（见本书） 
3rd 活力灵光 Aura of Vitality ，加速术 Haste 
4th 操控水体 Control Water ，行动自如 Freedom of Movement 
5th 原力法阵 Circle of Power ，穿墙术 Passwall 
考虑定制你施法时的法术外观。你 的量析法术可能会在万花筒般的分形图案漩涡中显现出来，放大你姿势成分中最微小的动作。当你的魔法创造或改变生物时，魔法可能会用闪烁的分形图案或镶嵌花纹短暂地包围目标。</t>
    <phoneticPr fontId="49" type="noConversion"/>
  </si>
  <si>
    <t xml:space="preserve">银毫学徒SILVERQUILL INITIATE
你获得斯翠海文学徒专长（见本章后），你必须选择银毫学院。 
此外，如果你拥有施法或契约魔法特性，将银毫法术表中的法术加入你施法职业的法术列表中。（如果你是拥有多个法术列表的兼职角色，这些法术会加入所有职业的列表中。） </t>
    <phoneticPr fontId="49" type="noConversion"/>
  </si>
  <si>
    <t>银毫法术SILVERQUILL SPELLS
1st 不谐低语 Dissonant Whispers , 银光锐语Silvery Barbs（见本书） 
2nd 安定心神 Calm Emotions, 黑暗术 Darkness 
3rd 希望信标 Beacon of Hope ，昼明术 Daylight 
4th 强迫术Compulsion ，困惑术 Confusion 
5th 支配人类 Dominate Person ，拉瑞心灵联结 Rary's Telepathic Bond 
考虑定制你施法时的法术外观。你的银毫法术可能会伴随着诸如墨水斑点或金光涟漪的视觉效果。你法术的听觉效果时常听起来像是放大的回声，如同你的声音在朗读该法术的语言成分一般 ——即使在电闪雷鸣或热浪喷发的时候也能听见。</t>
    <phoneticPr fontId="49" type="noConversion"/>
  </si>
  <si>
    <t>靡华学徒WITHERBLOOM INITIATE
你 获得斯翠海文学徒专长（见本章后），你必须选择靡华学院。
此外，如果你拥有施法或契约魔法特性，将 靡华法术表中的法术加入你施法职业的法术列表中。（如果你是拥有多个法术列表的兼职角色，这些法术会加入所有职业的列表中。）</t>
    <phoneticPr fontId="49" type="noConversion"/>
  </si>
  <si>
    <t>靡华法术WITHERBLOOM SPELLS
1st 疗伤术 Cure Wounds , 致伤术 Inflict Wounds 
2nd 次级复原术 Lesser Restoration, 靡叶生华Wither and Bloom（见本书）
3rd 回生术 Revivify ，吸血鬼之触 Vampiric Touch 
4th 枯萎术 Blight ，防死结界 Death Ward 
5th 防活物护罩 Antilife Shell ，高等复原术 Greater Restoration 
考虑定制你施法时的法术外观。你的靡华法术所需的材料成分或是法器可能是从靡华的沼泽环境中取得，你的法术外观可能反应了这些自然元素。你的法术效果中也许会出现幽灵般的沼泽动植物。</t>
    <phoneticPr fontId="49" type="noConversion"/>
  </si>
  <si>
    <t>长寿 Longevity。你的实际年龄要比你的外表年长 20d6 岁，因为你在停止老化的星界海中逗留了这么长的时间。 
神性之遇Divine Contact。你获得来自玩家手册中的魔法学徒专长，且在选择该专长中的职业时，你必须选择“牧师”一项。 在星界海，你与一位流浪的神祇道路相会。这次相遇简短且友善，但仍给你留下了长久的影响。这位神祇觉得适合同你分享一个秘密或一点晦涩的宇宙知识。与你的 DM 合作，确定这些知识的细节及其对战役的影响。</t>
    <phoneticPr fontId="49" type="noConversion"/>
  </si>
  <si>
    <t xml:space="preserve">投掷神性之遇表来决定你遇见了哪一位神祇，或和你的 DM 合作选取一个更恰当的选项。 
 D10  流浪神祇  
 1  柯瑞隆Corellon，艺术和魔法之神（混乱善良） 
 2  泰摩拉Tymora，幸运之神（混乱善良） 
 3  法兰恩Fharlanghn，视野和旅行之神（中立善良） 
 4  伊斯图丝Istus，命运与宿命之神（绝对中立） 
 5  努阿达Nuada，战争与战士之神（绝对中立） 
 6  亦为林Zivilyn，智慧之神（绝对中立） 
 7  安雯Arawn，生命与死亡之神（中立邪恶） 
 8  赫卡忒 Hecate，魔法与月亮之神（混乱邪恶） 
 9  塞莱斯坦Celestian，繁星与流浪之神（绝对中立） 
 10  布塔Ptah，知识与秘密之神（守序中立） </t>
    <phoneticPr fontId="49" type="noConversion"/>
  </si>
  <si>
    <t xml:space="preserve">荒宇适性Wildspace Adaptation。你获得来自玩家手册中的健壮专长。此外，你学会了如何适应失重。你的近战攻击检定不会因失重状态而具有的劣势。（见第二章“失重”） </t>
    <phoneticPr fontId="49" type="noConversion"/>
  </si>
  <si>
    <t xml:space="preserve">近距离遭遇 Close Encounter 
你和荒宇中的众多恐怖之一有过一次惨痛遭遇。你得以逃生，但这次接触给你留下了一到两处伤疤，或是一个反复出现的噩梦。投掷近距离接触表来决定哪一种生物你的角色最几乎将你毁灭。标有星号的生物出现在《布布的星界怪兽展》中，其他的则出现在《怪物图鉴》中。 
 D10  生物 
 1  眼魔Beholder 
 2  宇宙恐怪Cosmic horror* 
 3  惊怖魔Feyr* 
 4  月亮龙Lunar dragon* 
 5  夺心魔Mind flayer 
 6  纳-萨古Neh-thalggu* 
 7  纽吉怪Neogi* 
 8  太空小丑Space clown* 
 9  吸血骇盗Vampirate* 
 10  虚空独眼Void scavver* </t>
    <phoneticPr fontId="49" type="noConversion"/>
  </si>
  <si>
    <t>巨人打击Strike of the Giants
你获得专长 巨人打击Strike of the Giants。</t>
    <phoneticPr fontId="49" type="noConversion"/>
  </si>
  <si>
    <t>起源故事 Origin Stories
由你决定你是如何来到这个充斥着庞大生物的地方并在此居住的，不过 养子起源Foundling Origin 表为你提供了一些可能性的建议。
d6  起源 
1 你在还是婴儿的时候就被一群游牧巨人收养，他们将你当做他们的同族孩童抚养。 
2 在你落下山崖断口时，一个石巨人家庭救下了你。自那以后，你便与它们一同居住在地下了。 
3 在你孩童时期，你曾在一个四处都是饥饿恐龙的密林中走丢（或被抛弃了）。在那，你遇到了一名与你有着相同遭遇的落单霜巨人。你们俩一起，在这座密林中活了下来。 
4 在一场巨人族群与族群之间的战斗中，你的农场被摧毁了，你的家人们也被杀死了。出于对破坏行为的内疚，一名富有同情心的巨人战士向你承诺会照顾你。 
5 在你孩童时期，你曾有过一系列的奇怪梦境。那之后，你那无比迷信的家长送你去跟一名强大但离群的风暴巨人圣贤一同学习。 
6 在你与朋友玩躲猫猫期间，你无意间闯入了一座云巨人的城堡。 他二话不说的就领养了你。</t>
    <phoneticPr fontId="49" type="noConversion"/>
  </si>
  <si>
    <t>符文塑形者Rune Shaper
你获得专长 符文塑形者Rune Shaper。</t>
    <phoneticPr fontId="49" type="noConversion"/>
  </si>
  <si>
    <t xml:space="preserve">符文风格 Rune Styles 
每个符文雕刻者都有一套专属于自己的风格与偏好的媒介。你可以投掷 符文风格Rune Style 表来决定它，决定你是如何制作你的符文的。
d6  风格 
1 你用一根精致的金属针在蜡上、或在黏土上铭刻你的符文。 
2 你将小块的木头切削成木雕以用于承载你的符文。 
3 你将符文雕刻在玻璃珠子上，并将他们串成项链或是手镯。 
4 你将符文缝在衣物的褶边上。 
5 你在可以投掷的、形状大小一组骨头上刻下你的符文。 
6 你在蜡烛上绘出符文，再将蜡融化，填平蜡烛上的刻痕。 </t>
    <phoneticPr fontId="49" type="noConversion"/>
  </si>
  <si>
    <t>命运宠幸Fortune's Favor。一个微小的益处反映出你那出人意料的好运。你获得幸运，魔法学徒，或者熟习专长（由你选择）。你所选择的专长即反映了改变了你生活的变化。与某位给予你三个愿望的巨灵的邂逅可能导致了由魔法学徒专长所展现的魔法力量。如果你以一次偶然的三龙牌局偿清了你所有的家庭债务，则可能代之以幸运专长。要不然就是，你可以用熟习专长来反映出你为争取到崭新命运，以及塑造由改变了你生活的力量所赐予的知识与能力而经受的各种考验。</t>
    <phoneticPr fontId="49" type="noConversion"/>
  </si>
  <si>
    <t>创建一位受宠者角色
受宠者角色们有着各不相同的过去，但他们有一点是共同的：在生活突然转向之前，他们都因自己的运气而感到悲哀。他们可能已经放弃了获得更快乐生活的所有希望，却又突然间获得了第二次机会。某位受宠者角色往往曾花数年时间以努力逃脱困苦的境遇。现在，逃脱了先前生活的监牢（有时是字面意义上的），他们将所要考虑的事情抛到了九霄云外然后成为了冒险者。
如果你角色的人生因万象无常牌而改变，考虑一下是哪张牌引起的。或许是命运牌解开了你角色在年轻时铸成的悲剧错误。宝石牌也可能会抹去纠缠一生的债务。也许是贤者牌提供了逃离绝望境地所需的建议，星辰牌则将其的某项属性值提升到了当前值，或者在抽出月亮牌后施放的一道祈愿术Wish将你的角色从一位小贩变为浸染了魔法，新学识与新技能的新生术士。如果你在高于1级时创建角色，则其所拥有的魔法物品可以通过钥匙牌或太阳牌授予。</t>
    <phoneticPr fontId="49" type="noConversion"/>
  </si>
  <si>
    <t>屹立不倒Still Standing。你已经受住了难以忍受的不幸，而你拥有着他人想象不到的隐藏储备。你获得警觉，熟习或健壮专长（由你选择）。你所选择的专长反映了你是如何处理永久改变了你命运的可怕损失。如果你对每个机会都保持着敏锐的感官并通过抓住最微小的希望以逃离痛苦深渊，则选择警觉专长。如果你加倍努力以夺回曾属于你的东西，则选择熟习专长。如果你硬生生地挺过了自己的厄运，则选择健壮专长。</t>
    <phoneticPr fontId="49" type="noConversion"/>
  </si>
  <si>
    <t>创建一位受难者角色
受难者角色在厄运临头之前曾在世界的巅峰。其中许多人都很富有。其他的虽出身于中等背景，但朋友，家人与爱人也曾围绕在他们身边。他们可能非常出名，又或者以前从未遇到过严重的困难。有些生来便享有特权又或者通过欺骗或虚假身份从而声名鹊起。现在一副万象无常牌——或者其他的灾难——便将他们像摧毁纸牌屋一般击溃了。
如果你角色的人生因万象无常牌而沦落，考虑一下是哪张牌引起的。也许你的角色因城堡牌或虚空牌而被常年监禁，而现在其认识的所有人均已死去。也许你的角色抽到了浪客牌，而与其最亲密的人——配偶，孩子或者父母——转而背叛了其。一只由火焰牌所释放出来的魔鬼也可能会毁掉其的人生。而废墟牌或鹰爪牌也可能会偷走角色的物资或让其背负巨额债务。</t>
    <phoneticPr fontId="49" type="noConversion"/>
  </si>
  <si>
    <t>侍僧</t>
    <phoneticPr fontId="49" type="noConversion"/>
  </si>
  <si>
    <t>骗子</t>
    <phoneticPr fontId="49" type="noConversion"/>
  </si>
  <si>
    <t>罪犯</t>
    <phoneticPr fontId="49" type="noConversion"/>
  </si>
  <si>
    <t>密探</t>
    <phoneticPr fontId="49" type="noConversion"/>
  </si>
  <si>
    <t>艺人</t>
    <phoneticPr fontId="49" type="noConversion"/>
  </si>
  <si>
    <t>角斗士</t>
    <phoneticPr fontId="49" type="noConversion"/>
  </si>
  <si>
    <t>平民英雄</t>
    <phoneticPr fontId="49" type="noConversion"/>
  </si>
  <si>
    <t>公会工匠</t>
    <phoneticPr fontId="49" type="noConversion"/>
  </si>
  <si>
    <t>公会商人</t>
    <phoneticPr fontId="49" type="noConversion"/>
  </si>
  <si>
    <t>隐士</t>
    <phoneticPr fontId="49" type="noConversion"/>
  </si>
  <si>
    <t>贵族</t>
    <phoneticPr fontId="49" type="noConversion"/>
  </si>
  <si>
    <t>骑士</t>
    <phoneticPr fontId="49" type="noConversion"/>
  </si>
  <si>
    <t>化外之民</t>
    <phoneticPr fontId="49" type="noConversion"/>
  </si>
  <si>
    <t>智者</t>
    <phoneticPr fontId="49" type="noConversion"/>
  </si>
  <si>
    <t>水手</t>
    <phoneticPr fontId="49" type="noConversion"/>
  </si>
  <si>
    <t>海盗</t>
    <phoneticPr fontId="49" type="noConversion"/>
  </si>
  <si>
    <t>士兵</t>
    <phoneticPr fontId="49" type="noConversion"/>
  </si>
  <si>
    <t>流浪儿</t>
    <phoneticPr fontId="49" type="noConversion"/>
  </si>
  <si>
    <t>城市守卫</t>
    <phoneticPr fontId="49" type="noConversion"/>
  </si>
  <si>
    <t>氏族工匠</t>
    <phoneticPr fontId="49" type="noConversion"/>
  </si>
  <si>
    <t>隐修学者</t>
    <phoneticPr fontId="49" type="noConversion"/>
  </si>
  <si>
    <t>朝臣</t>
    <phoneticPr fontId="49" type="noConversion"/>
  </si>
  <si>
    <t>派系特工</t>
    <phoneticPr fontId="49" type="noConversion"/>
  </si>
  <si>
    <t>远行者</t>
    <phoneticPr fontId="49" type="noConversion"/>
  </si>
  <si>
    <t>继承者</t>
    <phoneticPr fontId="49" type="noConversion"/>
  </si>
  <si>
    <t>教团骑士</t>
    <phoneticPr fontId="49" type="noConversion"/>
  </si>
  <si>
    <t>老佣兵</t>
    <phoneticPr fontId="49" type="noConversion"/>
  </si>
  <si>
    <t>城市猎人</t>
    <phoneticPr fontId="49" type="noConversion"/>
  </si>
  <si>
    <t>乌斯伽部族成员</t>
    <phoneticPr fontId="49" type="noConversion"/>
  </si>
  <si>
    <t>深水人贵族</t>
    <phoneticPr fontId="49" type="noConversion"/>
  </si>
  <si>
    <t>俄佐立官员</t>
    <phoneticPr fontId="49" type="noConversion"/>
  </si>
  <si>
    <t>波洛斯军团兵</t>
    <phoneticPr fontId="49" type="noConversion"/>
  </si>
  <si>
    <t>底密尔特务</t>
    <phoneticPr fontId="49" type="noConversion"/>
  </si>
  <si>
    <t>葛加理成员</t>
    <phoneticPr fontId="49" type="noConversion"/>
  </si>
  <si>
    <t>古鲁反抗者</t>
    <phoneticPr fontId="49" type="noConversion"/>
  </si>
  <si>
    <t>伊捷工程师</t>
    <phoneticPr fontId="49" type="noConversion"/>
  </si>
  <si>
    <t>欧佐夫议员</t>
    <phoneticPr fontId="49" type="noConversion"/>
  </si>
  <si>
    <t>拉铎斯邪教徒</t>
    <phoneticPr fontId="49" type="noConversion"/>
  </si>
  <si>
    <t>瑟雷尼亚祀徒</t>
    <phoneticPr fontId="49" type="noConversion"/>
  </si>
  <si>
    <t>析米克科学家</t>
    <phoneticPr fontId="49" type="noConversion"/>
  </si>
  <si>
    <t>家族代理人</t>
    <phoneticPr fontId="49" type="noConversion"/>
  </si>
  <si>
    <t>名人冒险家的子孙</t>
    <phoneticPr fontId="49" type="noConversion"/>
  </si>
  <si>
    <t>失败商人</t>
    <phoneticPr fontId="49" type="noConversion"/>
  </si>
  <si>
    <t>赌徒</t>
    <phoneticPr fontId="49" type="noConversion"/>
  </si>
  <si>
    <t>起诉人</t>
    <phoneticPr fontId="49" type="noConversion"/>
  </si>
  <si>
    <t>竞争对手实习生</t>
    <phoneticPr fontId="49" type="noConversion"/>
  </si>
  <si>
    <t>自由斗士（笑面人）</t>
    <phoneticPr fontId="49" type="noConversion"/>
  </si>
  <si>
    <t>沃什塔克特工</t>
    <phoneticPr fontId="49" type="noConversion"/>
  </si>
  <si>
    <t>运动员</t>
    <phoneticPr fontId="49" type="noConversion"/>
  </si>
  <si>
    <t>噩梦缠身</t>
    <phoneticPr fontId="49" type="noConversion"/>
  </si>
  <si>
    <t>调查员</t>
    <phoneticPr fontId="49" type="noConversion"/>
  </si>
  <si>
    <t>衡鉴学生</t>
    <phoneticPr fontId="49" type="noConversion"/>
  </si>
  <si>
    <t>粹丽学生</t>
    <phoneticPr fontId="49" type="noConversion"/>
  </si>
  <si>
    <t>量析学生</t>
    <phoneticPr fontId="49" type="noConversion"/>
  </si>
  <si>
    <t>银毫学生</t>
    <phoneticPr fontId="49" type="noConversion"/>
  </si>
  <si>
    <t>靡华学生</t>
    <phoneticPr fontId="49" type="noConversion"/>
  </si>
  <si>
    <t>星界浪客</t>
    <phoneticPr fontId="49" type="noConversion"/>
  </si>
  <si>
    <t>荒宇人</t>
    <phoneticPr fontId="49" type="noConversion"/>
  </si>
  <si>
    <t>巨人养子</t>
    <phoneticPr fontId="49" type="noConversion"/>
  </si>
  <si>
    <t>符文雕刻者</t>
    <phoneticPr fontId="49" type="noConversion"/>
  </si>
  <si>
    <t>受宠者</t>
    <phoneticPr fontId="49" type="noConversion"/>
  </si>
  <si>
    <t>受难者</t>
    <phoneticPr fontId="49" type="noConversion"/>
  </si>
  <si>
    <t>现代枪械</t>
    <phoneticPr fontId="49" type="noConversion"/>
  </si>
  <si>
    <t>复兴时期枪械</t>
    <phoneticPr fontId="49" type="noConversion"/>
  </si>
  <si>
    <t>未来枪械</t>
    <phoneticPr fontId="49" type="noConversion"/>
  </si>
  <si>
    <t>手枪</t>
    <phoneticPr fontId="49" type="noConversion"/>
  </si>
  <si>
    <t>滑膛枪</t>
    <phoneticPr fontId="49" type="noConversion"/>
  </si>
  <si>
    <t>250g</t>
    <phoneticPr fontId="49" type="noConversion"/>
  </si>
  <si>
    <t>500gp</t>
    <phoneticPr fontId="49" type="noConversion"/>
  </si>
  <si>
    <t>3lb</t>
    <phoneticPr fontId="49" type="noConversion"/>
  </si>
  <si>
    <t>10lb</t>
    <phoneticPr fontId="49" type="noConversion"/>
  </si>
  <si>
    <t>弹药（射程30/90），装填</t>
    <phoneticPr fontId="49" type="noConversion"/>
  </si>
  <si>
    <t>弹药（射程40/120），装填，双手</t>
    <phoneticPr fontId="49" type="noConversion"/>
  </si>
  <si>
    <t>自动手枪</t>
    <phoneticPr fontId="49" type="noConversion"/>
  </si>
  <si>
    <t>左轮手枪</t>
    <phoneticPr fontId="49" type="noConversion"/>
  </si>
  <si>
    <t>猎枪</t>
    <phoneticPr fontId="49" type="noConversion"/>
  </si>
  <si>
    <t>自动步枪</t>
    <phoneticPr fontId="49" type="noConversion"/>
  </si>
  <si>
    <t>散弹枪</t>
    <phoneticPr fontId="49" type="noConversion"/>
  </si>
  <si>
    <t>8lb</t>
    <phoneticPr fontId="49" type="noConversion"/>
  </si>
  <si>
    <t>-</t>
    <phoneticPr fontId="49" type="noConversion"/>
  </si>
  <si>
    <t>弹药（射程50/150），弹容（15发）</t>
    <phoneticPr fontId="49" type="noConversion"/>
  </si>
  <si>
    <t>弹药（射程40/120），弹容（6发）</t>
    <phoneticPr fontId="49" type="noConversion"/>
  </si>
  <si>
    <t>弹药（射程80/240），弹容（5发），双手</t>
    <phoneticPr fontId="49" type="noConversion"/>
  </si>
  <si>
    <t>弹药（射程80/240），扫射，弹容（30发），双手</t>
    <phoneticPr fontId="49" type="noConversion"/>
  </si>
  <si>
    <t>弹药（射程30/90），弹容（2发），双手</t>
    <phoneticPr fontId="49" type="noConversion"/>
  </si>
  <si>
    <t>激光手枪</t>
    <phoneticPr fontId="49" type="noConversion"/>
  </si>
  <si>
    <t>激光步枪</t>
    <phoneticPr fontId="49" type="noConversion"/>
  </si>
  <si>
    <t>反物质步枪</t>
    <phoneticPr fontId="49" type="noConversion"/>
  </si>
  <si>
    <t>弹药（射程40/120），弹容（50发）</t>
    <phoneticPr fontId="49" type="noConversion"/>
  </si>
  <si>
    <t>弹药（射程120/360），弹容（2发），双手</t>
    <phoneticPr fontId="49" type="noConversion"/>
  </si>
  <si>
    <t>弹药（射程100/300），弹容（30发），双手</t>
    <phoneticPr fontId="49" type="noConversion"/>
  </si>
  <si>
    <t>2lb</t>
    <phoneticPr fontId="49" type="noConversion"/>
  </si>
  <si>
    <t>7lb</t>
    <phoneticPr fontId="49" type="noConversion"/>
  </si>
  <si>
    <t>装备名称</t>
    <phoneticPr fontId="49" type="noConversion"/>
  </si>
  <si>
    <t>装备特性</t>
    <phoneticPr fontId="49" type="noConversion"/>
  </si>
  <si>
    <t>伤害</t>
    <phoneticPr fontId="49" type="noConversion"/>
  </si>
  <si>
    <t>1d10</t>
    <phoneticPr fontId="49" type="noConversion"/>
  </si>
  <si>
    <t>1d12</t>
    <phoneticPr fontId="49" type="noConversion"/>
  </si>
  <si>
    <t>2d6</t>
    <phoneticPr fontId="49" type="noConversion"/>
  </si>
  <si>
    <t>2d8</t>
    <phoneticPr fontId="49" type="noConversion"/>
  </si>
  <si>
    <t>2d10</t>
    <phoneticPr fontId="49" type="noConversion"/>
  </si>
  <si>
    <t>3d6</t>
    <phoneticPr fontId="49" type="noConversion"/>
  </si>
  <si>
    <t>6d8</t>
    <phoneticPr fontId="49" type="noConversion"/>
  </si>
  <si>
    <t>3d8</t>
    <phoneticPr fontId="49" type="noConversion"/>
  </si>
  <si>
    <t>伤害类型</t>
    <phoneticPr fontId="49" type="noConversion"/>
  </si>
  <si>
    <t>1d4</t>
    <phoneticPr fontId="49" type="noConversion"/>
  </si>
  <si>
    <t>1d8</t>
    <phoneticPr fontId="49" type="noConversion"/>
  </si>
  <si>
    <t>1d6</t>
    <phoneticPr fontId="49" type="noConversion"/>
  </si>
  <si>
    <t>钝击</t>
    <phoneticPr fontId="49" type="noConversion"/>
  </si>
  <si>
    <t>穿刺</t>
    <phoneticPr fontId="49" type="noConversion"/>
  </si>
  <si>
    <t>挥砍</t>
    <phoneticPr fontId="49" type="noConversion"/>
  </si>
  <si>
    <t>光耀</t>
    <phoneticPr fontId="49" type="noConversion"/>
  </si>
  <si>
    <t>黯蚀</t>
    <phoneticPr fontId="49" type="noConversion"/>
  </si>
  <si>
    <t xml:space="preserve"> </t>
    <phoneticPr fontId="49" type="noConversion"/>
  </si>
  <si>
    <t>护甲类型</t>
    <phoneticPr fontId="49" type="noConversion"/>
  </si>
  <si>
    <t>AC</t>
    <phoneticPr fontId="49" type="noConversion"/>
  </si>
  <si>
    <t>心灵</t>
    <phoneticPr fontId="49" type="noConversion"/>
  </si>
  <si>
    <t>敏捷加值</t>
    <phoneticPr fontId="49" type="noConversion"/>
  </si>
  <si>
    <t>法师护甲</t>
    <phoneticPr fontId="49" type="noConversion"/>
  </si>
  <si>
    <t>武僧无甲</t>
    <phoneticPr fontId="49" type="noConversion"/>
  </si>
  <si>
    <t>蛮子无甲</t>
    <phoneticPr fontId="49" type="noConversion"/>
  </si>
  <si>
    <t>无甲</t>
    <phoneticPr fontId="49" type="noConversion"/>
  </si>
  <si>
    <t>敏捷加值</t>
    <phoneticPr fontId="49" type="noConversion"/>
  </si>
  <si>
    <t>加值</t>
    <phoneticPr fontId="49" type="noConversion"/>
  </si>
  <si>
    <t>灵巧，轻型，投掷（射程20/60）</t>
    <phoneticPr fontId="49" type="noConversion"/>
  </si>
  <si>
    <t>命中检定</t>
    <phoneticPr fontId="49" type="noConversion"/>
  </si>
  <si>
    <t>D20</t>
    <phoneticPr fontId="49" type="noConversion"/>
  </si>
  <si>
    <t>法术查询↓</t>
    <phoneticPr fontId="49" type="noConversion"/>
  </si>
  <si>
    <t>法术列表↓</t>
    <phoneticPr fontId="49" type="noConversion"/>
  </si>
  <si>
    <t>-</t>
    <phoneticPr fontId="49" type="noConversion"/>
  </si>
  <si>
    <t>——</t>
    <phoneticPr fontId="49" type="noConversion"/>
  </si>
  <si>
    <t>已知戏法</t>
    <phoneticPr fontId="49" type="noConversion"/>
  </si>
  <si>
    <t>无消耗法术</t>
    <phoneticPr fontId="49" type="noConversion"/>
  </si>
  <si>
    <t>法术攻击骰</t>
    <phoneticPr fontId="49" type="noConversion"/>
  </si>
  <si>
    <t>主职业</t>
  </si>
  <si>
    <t>主职业</t>
    <phoneticPr fontId="49" type="noConversion"/>
  </si>
  <si>
    <t>兼职1</t>
    <phoneticPr fontId="49" type="noConversion"/>
  </si>
  <si>
    <t>兼职2</t>
  </si>
  <si>
    <t>主职业</t>
    <phoneticPr fontId="49" type="noConversion"/>
  </si>
  <si>
    <t>兼职1</t>
    <phoneticPr fontId="49" type="noConversion"/>
  </si>
  <si>
    <t>职业归属</t>
    <phoneticPr fontId="49" type="noConversion"/>
  </si>
  <si>
    <t>X</t>
  </si>
  <si>
    <t>• 你掷出一颗酸液球。在施法距离内指定一个生物，或者在距离内指定两个相距不超过5尺的生物。每个目标必须进行一次敏捷豁免，豁免失败则受到1d6点强酸伤害。
• 你到达5级时，该法术的伤害增加1d6（变为2d6）11级时再加1d6（变为3d6），17级时再加1d6（变为4d6）。</t>
  </si>
  <si>
    <t>• 你伸手在空中勾勒出一个防护印记，以令自己在下一回合结束前对武器攻击造成的钝击、穿刺和挥砍伤害具有抗性。</t>
  </si>
  <si>
    <t>• 你挥舞作为法术成分的那把武器，对你周围 5 尺范围内的一个生物发动一次近战武器攻击。如果攻击成功命中，目标会受到这次攻击的正常影响，并被包复在爆破性的能量之中，直到你的下回合开始。如果目标在这之前主动移动了 5 尺或更多，法术效应将立刻结束并使其受到 1d8 雷鸣伤害。
• 这道法术的伤害随着你的等级提升而增加。你到达 5 级时，这次近战攻击将造成额外 1d8 雷鸣伤害，并且目标进行移动时受到的伤害提升为 2d8。两个伤害骰都会在 11 级时增加 1d8（2d8 和 3d8），17 级时再加 1d8（3d8 和 4d8）。</t>
  </si>
  <si>
    <t>• 你在施法距离内某生物所在位置召唤出幽魂般的骨手，夹带着墓穴的刺骨冻寒攻击目标。并对该生物进行一次远程法术攻击，命中时，手掌抓住目标并令其受1d8点黯蚀伤害，且直至你下一回合开始前都无法恢复生命值。
• 如果你的命中目标为一个不死生物，则其在你下回合结束之前对你发动的攻击检定都具有劣势。
• 你到达5级时，该法术的伤害增加1d8（变为2d8）。11级时再加1d8（变为3d8），17级时再加1d8（变为4d8）。</t>
  </si>
  <si>
    <t>• 你选择范围内你能看见的，占据5立方尺的非魔法火焰。你以下述方式之一影响此火焰：
• 你立刻令火焰在一个方向上蔓延5尺，如同在新位置处有着木头或其他燃料。
• 你立刻熄灭该空间内的火焰。            、
• 你令火焰产生的明亮和微亮区域的范围加倍或减半，和/或改变其颜色。此种变化持续1个小时。
• 你令火焰产生简单的形象——例如一个生物的模糊影像，一个固定的物体，或一个地点——这样的影像出现在火焰中，如你所愿变化着。这样的形象持续1个小时
• 若你多次施放此法术，你可以令至多3个非立刻的效应同时生效，而你可以以一个动作解除上述的效果之一。</t>
  </si>
  <si>
    <t>• 你在距离之内你能看到的地面上燃起一堆篝火。直到此法术终结，该魔法篝火会占满5立方尺的空间。当你施放此法术时，所有在篝火所在空间的生物必须通过一次敏捷豁免，否则受到1d8点伤害。当生物在一个回合中第一次进入篝火所在的空间，或在篝火所在的空间结束其回合时，其同样必须进行该豁免。
• 篝火可以点燃区域内未被穿戴或者携带的可燃物体。
• 你到达5级时，该法术的伤害增加1d8（变为2d8）。11级时再加1d8（变为3d8），17级时再加1d8（变为4d8）。</t>
  </si>
  <si>
    <t>• 你在施法距离内创造四个火把大小的光源。法术持续时间内，光源能够以火把，灯笼或光球的形态显现并在空中悬浮。你也可以将四个光源合为一个中型类人生物的模糊光影。无论选择哪种方式，每处光源都可以发出半径10尺的微光光照。
• 你在自己回合可以用一个附赠动作令这些光源在施法距离内移动至多60尺。每个光源必需在另一个光源周边20尺内，而离开施法距离的光源会随即熄灭。</t>
  </si>
  <si>
    <t>• 你向自然之魂低语，并创造以下效应之一：
→你创造一个微小而无害的感官效应，并以之预报你所在地接下来24小时的天气状况。该效应可表现为一个代表晴空的金球，一朵代表雨天的云彩，代表雪日而飘飞的雪花等等。该效应将持续1轮。
→你可以立即让一朵鲜花绽放，一颗种子破壳，一片叶蕾发芽。
→你创造一个微小而无害的即时感官效应，如落叶，微风，小动物的动静或者臭鼬的微弱气味。该效应只能在5尺的立方空间内起效。
→你可以立即点亮或熄灭一根蜡烛、一把火把或一处小篝火。</t>
  </si>
  <si>
    <t>• 一束激烈的能量射向施法距离内一个生物。对该目标发动一次远程法术攻击，如果命中则该目标受1d10点力场伤害。
• 当你到达更高等级时，该法术还可以同时创造更多的射线：5级时两条，11级时三条，17级时四条。你可以决定这些射线攻击同一个目标或分别攻击不同的目标，且为每束射线分别进行攻击检定。</t>
  </si>
  <si>
    <t>• 你对施法距离内一个生物或物件掷出一把火焰，对目标进行一次远程法术攻击。若命中，则目标受到1d10点火焰伤害。未被着装或携带的可燃物件被该法术命中时将被点燃。
• 你到达5级时，该法术的伤害增加1d10（变为2d10）。11级时再加1d10（变为3d10），17级时再加1d10（变为4d10）。</t>
  </si>
  <si>
    <t>• 指定一个对你非敌对的生物，你在法术持续时间内对其进行的所有魅力检定均具有优势。当该法术终止时，该生物将意识到你曾使用魔法操弄他的情绪，从而对你的态度转为敌对。此时如果该生物有暴力倾向则会直接对你发动攻击，而非暴力倾向的生物则会寻求其他的报复形式（由DM决定），具体情况视你与其交互时的具体内容而定。</t>
  </si>
  <si>
    <t>• 你令距离之内，一个你能看见的生物开始结冰。该目标必须进行一次体质豁免检定。若豁免失败，该目标受到1d6点冷冻伤害，并在其下个回合结束前进行的下一次武器攻击检定中得到劣势。
• 你到达5级时，该法术的伤害增加1d6（变为2d6）。11级时再加1d6（变为3d6），17级时再加1d6（变为4d6）。</t>
  </si>
  <si>
    <t>• 你挥舞作为法术成分的那把武器，对你周围 5 尺范围内的一个生物发动一次近战武器攻击。如果攻击成功命中，目标会受到这次攻击的正常影响，且你可以让那翠绿色火焰从目标身上飞跃至其 5 尺范围内的另一个你可见的生物。第二个生物受到等同于 你施法属性调整值 点的火焰伤害。
• 这道法术的伤害随着你的等级提升而增加。你到达 5 级时，这次近战攻击将造成额外 1d8 火焰伤害，且第二个目标将受到的伤害提升至 1d8+你的施法主属性调整值。两个伤害骰都会在 11 级时增加 1d8（2d8 和 2d8），17 级时再加 1d8（3d8 和 3d8）。</t>
  </si>
  <si>
    <t>• 你触碰一个自愿的生物。在法术终止前，目标可以选择在一次属性检定时额外掷一粒d4，并将所得数值加入检定结果中。它可以在进行属性检定之前或之后掷骰。法术随后即终止。</t>
  </si>
  <si>
    <t>• 在距离内的，你能看到的一点上，空气被你掌握，被迫产生了下述效应之一：
• 由你选择的一个中型或更小的生物必须通过一次力量豁免，否则会被你推离5尺。
• 你能制造出小小的空气爆破，足以移动一个未被持握或携带的，不超过5磅的物体。该物体被推离你10尺。以此法产生的力不足以造成伤害。
• 你利用空气制造出无害的感官感受，例如令树叶沙沙作响，令百叶窗闭合，或你的衣服在微风中摆动。</t>
  </si>
  <si>
    <t>• 你令一个处于距离内、你能看见的生物身上暂时性的出现螨虫、跳蚤、和其他寄生虫。目标必须通过一次体质豁免，否则受到1d6点毒素伤害并且向着一个随机的方向移动5尺，只要它可以移动并且有至少5尺的速度。投1d4决定方向：1，北；2，南；3，东；4，西。这个移动不会提供借机攻击，并且如果移动的方向被阻挡，目标将不会移动。
• 此法术的伤害在你达到5级（2d6），11级（3d6），和17级（4d6）时提高1d6点。</t>
  </si>
  <si>
    <t>• 你触碰一个尺寸在任意方向上都不超过10尺的物件。在法术终止前，物件将在其20尺半径范围内发出明亮光照，并在其外20尺范围发出微光光照。光的颜色由你决定，该物件被不透明的东西完全遮盖时，其光照被遮挡。如果你再次施展该法术，或者使用一个动作解散该法术，则该法术终止。
• 如果你指定敌对生物所持握或着装的一个物件作为目标，则该生物必须进行一次敏捷豁免以尝试摆脱该法术的效应。</t>
  </si>
  <si>
    <t>• 你创造出鞭状的闪电能量袭向你15尺内可见的一个生物。目标必须进行一次力量豁免，豁免失败则其以直线被你拉近10尺。如果拉近以后目标在你周围5尺内，那么他将受到1d8点闪电伤害。
• 你到达5级时，该法术的伤害增加1d8（变为2d8）。11级时再加1d8（变为3d8），17级时再加1d8（变为4d8）。</t>
  </si>
  <si>
    <t>• 一只漂浮的幽灵手出现在施法距离内你指定的一点。幽灵手持续存在至法术终止，或直至你以一个动作解散该法术。如果幽灵手距你的距离超过30尺，或者当你再次施展了该法术时，则现存的幽灵手消失不见。
• 你可以用动作控制幽灵手，并通过幽灵手实现一个行为：你可以操控一个物件，或者打开一扇未上锁的门或容器，或者将一件物品放入容器或从容器中取出，或者将小瓶中的内容物倾倒出来。你每次你使用幽灵手时可以令其移动至多30尺。
• 该幽灵手不能攻击，也不能激活魔法物品或承载超过10磅重的物质。</t>
  </si>
  <si>
    <t>• 你接触一到三块小石块，向其中注入魔法的力量。你或其他人可以通过徒手或使用投石索来投掷小石块之一以进行一次远程法术攻击。若徒手投掷，其射程为60尺。若除你之外的其他人使用小石块进行攻击，攻击者在其攻击检定中加上你的施法属性调整值，而非攻击者的。若击中，目标受到1d6+你的施法属性调整值点数点钝击伤害。无论击中与否，在那块石块上的魔法都会消失。
• 若你再次释放此法术，此法术先前释放时，在受到影响的石块上的效果会提前结束。</t>
  </si>
  <si>
    <t>• 该法术修复你所触碰一个物件上的一处破损或裂缝，例如修复一条断裂的链条，或者一把碎成两半的钥匙、一件撕裂的斗篷、一个漏了的酒袋等。只要破损或断裂处在任意方向上都不超过1尺，你就可以不留痕迹地修复它。
• 该法术可以从物理上修复一件魔法物品或一个构装体，但不会恢复这类物件上的魔法。</t>
  </si>
  <si>
    <t>• 你用手指指向施法距离内的一个生物并低声说出一段信息。该目标（且只有该目标）会听到这段信息并可以用只有你能听见的低语回复你。
• 你可以隔着固态物件施展该法术，但你必须熟悉法术目标并知晓其就在屏障后方。魔法的沉默，1尺厚的石头，1寸厚的普通金属，一片薄铅片，或者3尺厚的木料都可以阻挡该法术。该法术不需要直线传递信息，它可以自由地转过拐角或穿过孔洞。</t>
  </si>
  <si>
    <t>• 你将由灵能塑成的迷惘尖刺打入一个距离内可见生物的心智。目标必须进行一次智力豁免，豁免失败则将受到1d6点心灵伤害，且在你下回合结束前进行的下一次豁免检定中，在结果上减去1d4。
• 这道法术的伤害在你达到特定等级时增加1d6：5级（变为2d6），11级（变为3d6），17级（变为4d6）。</t>
  </si>
  <si>
    <t>• 你在施法距离内创造一段声响或一个物件的影像，并使之维持至法术持续时间结束。你也可以用一个动作解除幻象，或者再次施展该法术来终止幻象。
• 如果你创造一段声响，其音量可以是低声耳语也可以是高声尖叫。它可以是你或其他任何人的嗓音，或者是一头狮子的咆哮、一段鼓声以及任何你指定的其它声响。声响在持续时间内不会减弱，或者你也可以于法术终止前在不同的时间段创造几段分散的声响。
• 如果你创造一个物件的影像（比如一把椅子、泥泞的脚印、一个小箱子等），则该物件大小不得大于一个边长5尺的立方体。该影像不具有声音、光亮、味道或任何其他的感官效应。由于影像可以被任何物件所穿透，因此与之进行物理互动时都会揭露其幻象的本质。
• 生物用其动作调查该声响或影像时，必须进行一次对抗该法术豁免DC的智力（调查）检定，检定成功则判断出眼前即是幻象。幻象在看穿它的生物面前会显得模糊不清。</t>
  </si>
  <si>
    <t>• 你选择距离之内，你能看见的，占满5立方尺空间的一堆泥土或一块岩石。你可以用以下方式之一对其进行改变：
• 若你指向一片松散的土壤，你可以立刻挖开它，令其沿着地表行进，被运离到至多5尺之外的地方。这种移动的力量不足以造成伤害。
• 你让泥土或岩石的形状，和/或颜色发生改变，写出文字，画出图案或雕出图纹。这种变化持续1个小时。
• 若你指定的泥土或岩石在地表上，你可以令其成为困难地形。作为另一种选项，你亦可以令已经是困难地形的地表区域成为正常地形。这种变化持续1个小时。
• 若你多次施放此法术，你可以同时维持至多两个非立即的效果生效，你也可以以一个动作解消上述效应之一。</t>
  </si>
  <si>
    <t>• 你伸手向施法距离内一个你能看见的生物喷一阵毒气。目标必须进行一次体质豁免，豁免失败则受1d12毒素伤害。
• 你到达5级时，该法术的伤害增加1d12（变为2d12）。11级时再加1d12（变为3d12），17级时再加1d12（变为4d12）</t>
  </si>
  <si>
    <t>• 该法术是一个初级施法者用来练习的魔法小伎俩。你在施法距离内创造下列魔法效果中的一种：
→你创造一个立即生效的，无害的感观效应，比如一束火花，一阵风，微弱音乐或古怪的臭味。
→你立即点燃或熄灭一支蜡烛，一支火把或一小型营火。
→你立即使一个不大于1立方尺的物件变得清洁或肮脏。
→你立即使一个不大于1立方尺的非活体物质变得冰冷、温暖或对其调味，其效应持续1小时。
→你在一个物件或一个表面上创造一块色斑，或者一个记号，又或者一个标志，其效应持续1小时。
→你创造一个巴掌大小的非魔法小玩意或一个虚幻图像，其效应持续到你下回合结束。
• 如果你多次施展该法术，则可以同时维持至多三个不同的非即时效应，并且可以用一个动作解散其中一种效应。</t>
  </si>
  <si>
    <t>• 你的牙齿或指甲变得长而尖锐，从而准备好发起酸蚀性的打击。对一个处于你周围5尺内的生物进行一次近战法术攻击。命中则目标受到1d10点强酸伤害。在你进行此攻击后，你的牙齿或指甲恢复正常。
• 此法术的伤害在你达到5级（2d10），11级（3d10），和17级（4d10）时提高1d10点。</t>
  </si>
  <si>
    <t>• 一朵摇曳的火焰出现在你手中。火焰在法术持续时间存在，并且不会伤害你和你的装备。火焰为其周边半径10尺范围内提供明亮光照，以及该范围外10尺的微光光照。法术将在再次施展该法术，或者以一个动作解除法术时终止。
• 此外，你还可以使用火焰发动攻击，并以此终止该法术。施展该法术时，你可以将火焰投向距你30尺内的一个生物，并对其发动一次远程法术攻击，命中时目标将受到1d8点火焰伤害。你也可以在施展法术后的随后回合里以一个动作实现该行为。
• 你到达5级时，该法术的伤害增加1d8（变为2d8）。11级时再加1d8（变为3d8），17级时再加1d8（变为4d8）。</t>
  </si>
  <si>
    <t>• 一道冰冷的蓝白色光线朝施法距离内的一个生物射去。你对目标进行一次远程法术攻击。若命中，则目标受到1d8点冷冻伤害，并且在你的下一回合开始前速度减少10尺。
• 你到达5级时，该法术的伤害增加1d8（变为2d8）。11级时再加1d8（变为3d8），17级时再加1d8（变为4d8）。</t>
  </si>
  <si>
    <t>• 你触碰一个自愿的生物。在法术终止前，目标可以选择在一次豁免检定时额外掷一粒d4，并将所得数值加入检定结果中。他可以在进行豁免检定之前或之后掷骰。法术随后即终止。</t>
  </si>
  <si>
    <t>• 如同火焰般的辉光向施法距离内你能看见的一个生物倾泻而下。目标必须要进行一次敏捷豁免，豁免失败则受到1d8点光耀伤害。目标在这次豁免检定中无法获得掩护的增益。
• 你到达5级时，该法术的伤害增加1d8（变为2d8）。11级时再加1d8（变为3d8），17级时再加1d8（变为4d8）。</t>
  </si>
  <si>
    <t>• 你削弱施法距离内一个你看得见的生物的生命活力。目标必须通过一个体质豁免，否则就会受到1d4点黯蚀伤害并且倒地。
• 该法术的伤害会在你到达5级（2d4），11级（3d4）与17级（4d4）时增加1d4.</t>
  </si>
  <si>
    <t>• 你选定距离之内，你能看见的一处占据5立方尺的水体。你能以下述方式之一来对其进行操控：
• 你立即在你选定的方向上，造成或改变水的流动，至多在任意方向上改变5尺。此种运动的力量不足以造成伤害。
• 你令水体呈现出简单的形状，随你的意愿而运动。这种变化持续1个小时。
• 你改变了水体的颜色或透明度。水体必须被整体性的改变。此种变化持续1个小时。
• 你冻结了水，只要其中没有生物。水会在1小时内解冻。
• 若你多次施放此法术，你可以同时维持至多两个非立即的效果生效，你也可以以一个动作解消上述效应之一。</t>
  </si>
  <si>
    <t>• 你将自然之力灌入手中持握的一根短棒或木杖中。你在法术持续时间内使用该武器进行近战攻击时可以用你的施法关键属性代替力量值来进行攻击检定和伤害掷骰，且该武器的伤害骰变为d8。另外，如果该武器原来不是魔法武器，则它将变成魔法武器。你再次施展该法术或丢掉该武器时，该法术将随之终止。</t>
  </si>
  <si>
    <t>• 你的手上发出闪电，并对你触碰的一个生物发动电击。对目标发动一次近战法术攻击。如果目标穿着金属护甲，则你进行该检定时具有优势。若命中，则目标受到1d8点闪电伤害，并且在其下一回合开始前不能执行任何反应。
• 你到达5级时，该法术的伤害增加1d8（变为2d8）。11级时再加1d8（变为3d8），17级时再加1d8（变为4d8）。</t>
  </si>
  <si>
    <t>• 你触碰一个生命值为0的活体生物，使该生物的伤势立刻稳定下来。该法术对不死生物和构装生物无效。</t>
  </si>
  <si>
    <t>• 你在瞬间制造出一圈半透明的利刃清扫你的周围。法术范围内除你以外的每一个生物都必须成功通过一次敏捷豁免，否则将受到1d6点力场伤害。
• 你到达5级时，该法术的伤害增加1d6（变为2d6）。11级时再加1d6（变为3d6），17级时再加1d6（变为4d6）。</t>
  </si>
  <si>
    <t>• 你在施法距离内展示出一个低级奇观，以表现你的超自然力。你在施法距离内创造出下列魔法效应之一：
→你的声音在1分钟内变得比常人响两倍。
→你在1分钟内使一团火焰闪烁，变亮，变暗或变色。
→你使地面震动1分钟（完全无害）。
→你使某种声音自施法距离内一点瞬间发出，例如雷鸣声，鸦叫声或不祥的低语声。
→你使一扇没有锁上的门或窗瞬间打开或关上。
→你在1分钟内改变自己眼睛的颜色。
• 多次施展该法术时，你可以同时维持最多三个持续1分钟的效应。你也可以用一个动作驱散其中一种效应。</t>
  </si>
  <si>
    <t>• 你创造出一条藤蔓般的带刺长鞭，并猛抽向施法距离内一个你指定的生物。对目标进行一次近战法术攻击，如果命中，则目标受到1d6点穿刺伤害，如果目标生物为大型或更小体型，则其将朝你所在位置拉近至多10尺。
• 你到达5级时，该法术的伤害增加1d6（变为2d6）。11级时再加1d6（变为3d6），17级时再加1d6（变为4d6）。</t>
  </si>
  <si>
    <t>• 你制造出雷鸣巨响，可以在100尺范围内被听到。除你之外，在你周围5尺范围内的生物必须进行一次体质豁免。若豁免失败，该生物受到1d6点雷鸣伤害。
• 你到达5级时，该法术的伤害增加1d6（变为2d6）。11级时再加1d6（变为3d6），17级时再加1d6（变为4d6）。</t>
  </si>
  <si>
    <t>• 你指向一个处于距离内、你能看见的生物，一阵哀痛的铃声在空中鸣响。目标必须通过一次感知豁免，否则受到1d8点黯蚀伤害。若目标失去了任何量的生命值，它改为受到1d12点黯蚀伤害。
• 此法术的伤害在你达到5级（2d8或2d12），11级（3d8或3d12），和17级（4d8或4d12）时提高一个伤害骰。</t>
  </si>
  <si>
    <t>• 你伸出手并以手指指向施法距离内的一个生物，并以魔力刹那间看穿目标的防御。如果该法术还未终止，则你在自己的下一回合里，对该目标发动的第一次攻击检定具有优势。</t>
  </si>
  <si>
    <t>• 你对施法距离内一个你能看见的生物连珠炮式的说出一串蕴涵魔力的咒骂。如果目标能听见你说话（不一定要听懂），它就必须要进行一次感知豁免，豁免失败则将受到1d4点心灵伤害，其下一回合结束前进行第一次攻击检定具有劣势。
• 你到达5级时，该法术的伤害增加1d4（变为2d4）。11级时再加1d4（变为3d4），17级时再加1d4（变为4d4）。</t>
  </si>
  <si>
    <t>• 你念出神圣的词语，灼热的光辉随之喷薄而出。每个你选择的、处于你周围5尺内、你能看见的生物必须通过一次体质豁免检定，否则受到1d6点光耀伤害。
• 此法术的伤害在你达到5级（2d6），11级（3d6），和17级（4d6）时提高1d6点。</t>
  </si>
  <si>
    <t>• 将一根手指放入你的脑袋，你从你的心灵中抽出一段记忆、一个想法或一段消息，并将其转换成一段纠缠的泛光能量带，称之为「一缕思绪」，会在法术持续时间中持存，或是持存到你再次施展此法术。一缕思绪出现在你身周五尺的一个未占据区域，作为一个微小、无重力、半实体的对象，可以被当作缎带所携带。它一般来说是静止的。
• 如果你在专注一个允许你阅读或操纵他人思维的法术或能力（如侦测思想或修改记忆）时施展此法术，你可以将不属于你的、你所阅读的思维或记忆转换为一缕思绪。
• 在握有一缕思绪时施展此法术，允许你立刻得到一缕思绪所包含的记忆、想法或消息。（在一缕思绪上施展侦测思想也有同样效果。）</t>
  </si>
  <si>
    <t>• 此法术捕获了部分袭来的能量，减轻它对你的效果，并将之储存起来以用在你的下一次近战攻击中。在你的下个回合的开始之前，你对于触发法术的伤害类型具有抗性。此外，在你的下个回合，第一次以近战攻击命中时，目标额外受到1d6点触发法术的伤害类型的伤害，同时此法术终结。
• 升环施法效应：当你使用2环或更高的法术位施放该法术时，使用的法术位每高一环，额外伤害便增加1d6。</t>
  </si>
  <si>
    <t>• 你针对不速之客设置一个警报。在施法距离内指定一扇门窗或选择一个边长不大于20尺的立方区域。在法术持续时间内，任何触碰或进入目标区域的微型或更大体型生物都会触发警报。施法时，你可以决定哪些生物不会触发警报，还可以选择警报方式为声音警报或是精神警报。
• 如果你选择精神警报，且警报触发时你距离目标区域不超过1里，则你的意念里会传来“乒”的警报声。如果你在睡觉，则警报将使你惊醒。
• 如果你选择声音警报，则警报触发时其60尺范围内将响起持续10秒摇铃声。</t>
  </si>
  <si>
    <t>• 该法术帮你让一只野兽相信你并无恶意。在施法距离内指定一只你能看见的野兽，而它也必须能看见你且能听到你的声音。该野兽必须进行一次感知豁免，豁免失败则将在法术持续时间内被你魅惑。如果它的智力为４或更高则法术直接失败。如果你或你的同伴对目标造成伤害，则法术终止。
• 升环施法效应：使用２环或更高法术位施展该法术时，你使用的法术位每比１环高一环，就可以多选择一个野兽作为目标。</t>
  </si>
  <si>
    <t>• 防护性的魔法力量环绕着你，凝聚成覆盖着你和你的装备表面上一层魅影般的凝霜。
• 你在法术持续时间内获得５点临时生命值。如果有生物在你拥有这些临时生命值时以近战攻击命中你，则该生物将受到５点冷冻伤害。
• 升环施法效应：使用２环或更高法术位施展该法术时，你使用的法术位每比１环高一环，临时生命和冷冻伤害就各增加５点。</t>
  </si>
  <si>
    <t>• 你祈求“乌黯之饥渴 the Dark Hunger”，哈达 Hadar 的力量。黑暗能量构成的触须从你身上蔓延而出并痛击10尺内的所有生物。范围内的所有生物都必须进行一次力量豁免，豁免失败者将受到2d6点黯蚀伤害，并其下一回合前都无法执行反应。豁免成功的生物伤害减半，且不受其他效应的影响。
• 升环施法效应：使用２环或更高法术位施展该法术时，你使用的法术位每比１环高一环，法术的伤害就增加1d6。</t>
  </si>
  <si>
    <t>• 指定施法距离内至多三个你能看见的生物，并迫使其进行一次魅力豁免。豁免失败者直至法术终止前，在每当进行攻击检定或豁免检定时，必须从投骰结果中减去一个d4。
• 升环施法效应：使用2环或更高法术位施展该法术时，你使用的法术位每比1环高一环，就能多指定一个目标。</t>
  </si>
  <si>
    <t>• 你和一个你接触的，对你友好或被你魅惑的野兽建立起一道心灵链接。若该野兽的智力不低于4，则此法术失败。直到法术终结，只要你和该野兽相互处于彼此的视觉线内，此链接便处于活动状态。通过此链接，该野兽可以理解你以心灵感应传递的信息，而其也会以心灵感应向你传递其基本的情绪和意愿。只要此链接处于激活状态，该野兽在对你周围5尺，你能看见的任何生物所进行的攻击检定中获得优势。</t>
  </si>
  <si>
    <t>• 你用言语祝福施法距离内至多三个生物。在法术终止前，每当受术目标进行攻击检定或豁免检定时，可以额外掷一次d4并加在其结果上。
• 升环施法效应：使用2环或更高法术位施展该法术时，你使用的法术位每比1环高一环，就可以多指定一个目标。</t>
  </si>
  <si>
    <t>• 你双手拇指相对，其他手指张开，一道火焰随即从手指间喷出。处于15尺锥状区域内的生物必须进行一次敏捷豁免。豁免失败者受到3d6 点火焰伤害，豁免成功则伤害减半。
• 该法术的火焰会点燃范围内未被着装或携带的可燃物。
• 升环施法效应：使用2环或更高法术位施展该法术时，你使用的法术位每比1环高一环，法术的伤害就增加1d6。</t>
  </si>
  <si>
    <t>• 选择距离之内，一个未被穿戴或持握的，重量为1到5磅的物体。此目标在你选择的一个方向上以直线轨迹飞行，在落到地面前至多行进90尺，若其在此过程中撞击到了固体表面则会提前停止运动。若该物体将会撞击一个生物，该生物必须进行一次敏捷豁免检定，豁免失败该物体击中该生物并不再移动。目标被击中后，它与该物体各受到3d8点钝击伤害。
• 升环施法效应：当你使用2环或更高的法术位施放该法术时，使用的法术位每高一环，你可以指定的物体的重量上限便增加5磅，而造成的伤害便提高1d8。</t>
  </si>
  <si>
    <t>• 你唤醒了一个处于距离内、你能看见的生物内心的凡性。此法术对于构装生物或不死生物无效。目标必须通过一次感知豁免检定，否则在持续时间内陷入恐慌状态。被恐惧的生物可以在它的每个回合结束时重复进行这个豁免检定，若成功将结束法术对自身的效果。
• 升环施法效应：当你使用2环或更高的法术位施放该法术时，使用的法术位每高一环，你就可以多指定一个额外生物作为目标。每个被你指定的生物相互之间的距离必须在30尺内。</t>
  </si>
  <si>
    <t>• 你进行几种宗教典礼之一。当你施展此法术时，选择下述典礼之一，其目标必须在施法过程中处于你周围10尺内。
• 赎罪Atonement：你接触一个阵营发生了改变的自愿生物，而你进行一次DC20的感知（洞悉）检定。成功则你令目标恢复其原始阵营。
• 祝福圣水Bless Water：你接触一瓶水并将它转变为圣水。
• 成人礼Coming of Age：你接触一个年龄足够成年的类人生物。在接下来的24小时内，当目标进行一次属性检定时，它可以投d4并将投出的结果加到属性检定上。一个生物只能从此仪式中获得此增益一次。
• 献身Dedication：你接触一个自愿转变为你的宗教的信仰或想要为你信奉的神明服务的类人生物。在接下来的24小时内，当目标进行一次豁免检定时，它可以投d4并将投出的结果加到检定上。一个生物只能从此仪式中获得此增益一次。
• 葬礼Funeral Rite：你祝福一具处于你周围5尺内的尸体。在接下来的7天内，目标不能被任何弱于祈愿术wish的方式变为不死生物。
• 婚礼Wedding：你接触自愿接受婚姻的束缚的成年类人生物。在接下来的7天内，每个目标若处于彼此30尺范围内，则在AC上获得+2加值。一个生物只有在丧偶时才能再次从这个仪式中受益。</t>
  </si>
  <si>
    <t>• 你向着距离内的一个生物掷出一团变化不定、高声尖鸣的混乱能量。对目标进行一次远程法术攻击。击中时，目标受到2d8+1d6点伤害。选择一颗d8投出的数字来决定它的伤害类型：1强酸，2冷冻，3火焰，4力场，5闪电，6毒素，7精神，8雷鸣。
• 若你的两颗d8投出了相同的数字，混乱能量将从目标跳跃到一个由你选择的、处于它周围30尺内的其他生物上。对新目标进行一次新的攻击检定，进行新的伤害检定，这次伤害检定也可能令混沌能量跳跃。
• 一个生物只能被此混乱箭选作目标一次。
• 升环施法效应：当你使用2环或更高的法术位施展此法术时，每个生物受到额外伤害，类型与投出的一致。额外伤害等于高于1环的每个等级1d6点。</t>
  </si>
  <si>
    <t>• 你尝试魅惑施法距离内的某个你能看见的类人生物。该生物必须进行一次感知豁免。如果你或你的同伴正在和该生物战斗，则该生物进行该豁免时具有优势。如果豁免失败，则该生物被你魅惑至法术终止，或者直到你或你的同伴对他做出伤害行为为止。此间，被魅惑的生物将视你为友方且熟悉的人。法术终止后，该生物将会发觉曾被你魅惑过。
• 升环施法效应：使用2环或更高法术位施展该法术时，你使用的法术位每比1环高一环，法术就能多影响一个目标。而各目标之间距离不能超过30尺。</t>
  </si>
  <si>
    <t>• 你向施法距离内某个你能看见的生物掷出一颗直径4寸的能量球，并从强酸、冷冻、火焰、闪电、毒素、雷鸣中选择一种类型以对该生物发动一次远程法术攻击。攻击命中时，该生物将受到3d8点你所选类型的伤害。
• 升环施法效应：使用２环或更高法术位施展该法术时，你使用的法术位每比１环高一环，法术的伤害就增加1d8。</t>
  </si>
  <si>
    <t>• 炫目的彩光从你指间散射而出。掷一次6d10；其结果为受该法术影响生物的生命值总数。在以你为源点的15尺锥状区域内的生物以剩余生命值由小至大的顺序受法术影响（生效时忽略昏迷生物和不能视物的生物）。
• 计算受法术影响生物时，从剩余生命值最低的生物开始逐个计算。每个受术生物均陷入目盲，直至法术终止。法术掷骰的生命值总数减去一个受术生物的生命值后，余数再用以计算生命值稍高者是否受法术影响。生物剩余生命值，必须小于等于该余数法术才能成功影响该生物。
• 升环施法效应：使用2环或更高法术位施展该法术时，你使用的法术位每比1环高一环，法术的掷骰时就增加2d10。</t>
  </si>
  <si>
    <t>• 你对施法距离内一个你能看见的生物说出一个单词的命令。目标生物必须成功通过一次感知豁免，否则必须在其自己的下一回合服从该命令行事。如果目标为不死生物或目标无法听懂你的语言，又或者你的命令对其直接构成损害，则该法术无效。
• 以下列出一些通常可用的命令单词及其效果。你也可以说出此处没有列明的单词命令，并由DM决定目标将如何行动。如果目标无法完成你的命令，则法术终止。
→过来 Approach：目标以最短最直接的路线向你移动，并在到达距你5尺时结束其回合。
→放下 Drop：目标放下手中持握物并结束其回合。
→走开 Flee：目标在其回合内以最快最有效的方式远离你。
→趴下 Grovel：目标趴下倒地并结束其回合。
→立定 Halt：目标不移动且不作任何动作。飞行生物在原地悬浮（如果它可以这么做）。如果它必须移动才能保持在空中，则其移动最小的距离以保持飞行。
• 升环施法效应：使用2环或更高法术位施展该法术时，你使用的法术位每比1环高一环，法术就能多影响一个目标。而各目标之间距离不能超过30尺。</t>
  </si>
  <si>
    <t>• 你尝试强令一个生物与你决斗。指定施法距离内一个你能看见的生物作为法术的目标。该生物必须进行一次感知豁免，豁免失败则该生物将被你的神圣要求所吸引。在法术持续时间内，该生物对除你之外任何生物发动攻击检定时都具有劣势，并且每当其试图移动至与你相距超过30尺的距离时，都必须进行一次感知豁免。豁免成功则该目标的移动本回合内暂时不受该魔法限制。
• 当你攻击另一个生物时，或者当你对另一个敌对生物施展法术时，又或者当一个你的友方生物对该目标造成伤害或者对其施展伤害性法术时，又或者你在距离该目标超过30 尺的位置结束你的回合时，该法术终止。</t>
  </si>
  <si>
    <t>• 你在法术持续时间内知晓你所听到所有语言的字面意义。你也可以通过触碰书写的文字来读懂其字面意义。以这种方式阅读每页文字需要花费1分钟的时间。
• 某些文字或图形的密语（比如一个奥秘符文）由于不属于书写语言一类所以无法用此法术破译。</t>
  </si>
  <si>
    <t>• 你施法创造水或者使水枯竭。
• 造水 Create Water：你在施法距离内一个打开的容器里创造10加仑干净的水。或以降雨的方式在施法距离内一处30尺的立方区域降下等量水分并浇灭区域内不受遮盖的火苗。
• 枯水 Destroy Water：你使施法距离内一个打开的容器里的10加仑水分枯竭不见。或者使施法距离内一片30尺立方区域的浓雾消失不见。
• 升环施法效应：使用2环或更高法术位施展该法术时，你使用的法术位每比1环高一环，法术就多创造或枯竭10加仑额外的水分，或者影响的立方区域边长增加5尺。</t>
  </si>
  <si>
    <t>• 一个你触碰的生物恢复特定数值的生命值，其恢复量等于1d8＋你的施法关键属性调整值。该法术对不死生物和构装生物无效。
• 升环施法效应：使用2环或更高法术位施展该法术时，你使用的法术位每比1环高一环，恢复量就增加1d8。</t>
  </si>
  <si>
    <t>• 你在法术持续时间内能感觉到身边30尺内出现的任一异怪、天界生物、元素生物、精类生物、邪魔或不死生物的存在，并掌握其具体位置。另外，你也可以知晓30尺内的物件或地点是否被祝福或亵渎。
• 该法术可以穿透大多障碍，但仍会被1尺厚石质或1寸厚金属质，或一层薄铅质，或3尺厚木质或泥质材料阻隔。</t>
  </si>
  <si>
    <t>•  你在法术持续时间内能感测到30尺内存在的魔法。感测到魔法的存在后，你可以使用动作，来看到任何你能看见的生物或物件周围微弱的灵光，并分辨出其所属的魔法学派（若有）。
• 该法术可以穿透大部分障碍，但仍会被1尺厚石质，或1寸厚金属质，或一层薄铅质，或3尺厚木质或泥质材料阻隔。</t>
  </si>
  <si>
    <t>• 你在法术持续时间内可以感测并定位30尺内的毒素、有毒生物以及疾病。你还可以判断所感测毒素、毒物或疾病的具体类别。
• 该法术可以穿透大部分障碍，但仍会被1尺厚石质，或1寸厚金属质，或一层薄铅质，或3尺厚木质或泥质材料阻隔。</t>
  </si>
  <si>
    <t>• 你改变自身以及随身的衣物、护甲、武器等所有物。该效应在法术终止或你使用动作主动解除时结束。肉眼看来你的身高可以有1尺的增减，体态可胖可瘦可匀称。但是你不能改变身体的形状，所以你变形的样子必须有四肢或类似的生理结构。此外，幻术的影响范围由你决定。
• 此法术产生的变化无法应对物理检查。比如，你用此法术添了一顶帽子，那么现实物件会从帽子穿过去，且任何触碰帽子的人将摸不到任何东西或者摸到的是你的头和头发。如果你用该法术让自己变得消瘦，而某个人用手摸到你时，他的手看起来就像摸着空气。
• 如果一个生物想要分辨你是否易容，则必须使用一个动作揭露你的伪装，并进行一次智力（调查）检定以对抗你的法术豁免DC。</t>
  </si>
  <si>
    <t>• 你指定一个施法距离内能够听到你声音的生物，并对其说出只有他能听到的不谐低语，使其受强烈的痛苦折磨。目标必须进行一次感知豁免。豁免失败则受到3d6点心灵伤害，并立即执行反应往远离你的方向移动其速度所允许的距离。该生物不会进入明显危险的地域，如火堆或陷坑。豁免成功则伤害减半，且不会执行远离的反应。陷入耳聋状态的目标，进行该豁免时直接判定为成功。
• 升环施法效应：使用2环或更高法术位施展该法术，你使用的法术位每比1环高一环，伤害就提高1d6。</t>
  </si>
  <si>
    <t>• 你的祈祷赋予你神圣的光芒。在法术持续时间结束前，你的武器攻击命中时将造成额外1d4点光耀伤害。</t>
  </si>
  <si>
    <t>• 你在施法距离内引发地面颤动。处于该区域，除你之外的其他生物必须进行一次敏捷豁免检定。若检定失败，该生物受到1d6点钝击伤害并应击倒地。若区域的地表为松软的土壤或石头，其在被清理之前成为困难地形。每5尺直径的部分都需要至少1分钟来手动清理。
• 升环施法效应：当你使用2环或更高的法术位施放该法术时，使用的法术位每高一环，伤害便增加1d6。</t>
  </si>
  <si>
    <t>• 你在法术终止前的下一次武器攻击命中一个生物时，将在攻击处出现一团扭曲的多刺藤蔓，并迫使目标进行一次力量豁免，豁免失败者将受魔法藤蔓影响而陷入束缚状态，直至法术终止。大型或更大体型的生物进行该豁免时具有优势，如果豁免成功，则藤蔓立即枯萎。
• 受该法术束缚的目标每回合开始时受到1d6点穿刺伤害。该受束缚生物或其他能触及该目标的生物可用一个动作进行一次对抗法术豁免DC的力量检定。检定成功则目标解除束缚。
• 升环施法效应：使用2环或更高法术位施展该法术时，你使用的法术位每比1环高一环，伤害就提高1d6。</t>
  </si>
  <si>
    <t>• 在施法距离内指定一点，并以其为源点蔓延出20尺方形区域的杂草和藤蔓。在法术持续时间内，这片被植物覆盖的区域变为困难地形。
在你施展法术时，该区域内的生物必须成功通过一此力量豁免，否则将因为这些缠绕的植物陷入束缚状态，直到法术终止。一个因此被束缚的生物可以使用其动作进行一次力量检定以对抗该法术的豁免DC，检定成功则摆脱束缚。
• 法术终止时，所召唤的植物随即枯萎。</t>
  </si>
  <si>
    <t>• 此法术让你以惊人的步速移动。你在施展该法术时可以执行一次“疾走 Dash ”动作。其后直至法术终止前的每个自己回合，你能以一个附赠动作执行“疾走 Dash ”动作。</t>
  </si>
  <si>
    <t>• 指定施法距离内一处20尺立方区域，其内每个物件都将被蓝色，绿色或紫色的光所包围（颜色由你指定）。区域内敏捷豁免失败的生物也会被光包围。受术物件和生物在法术持续时间内发出10尺半径的微光。
• 受术生物或物件无法受益于隐形，且任何能看见他们的攻击者对其发动攻击检定时具有优势。</t>
  </si>
  <si>
    <t>• 你从死灵法术中获得了额外的生命力。在法术持续时间内，你获得1d4+4的临时生命值。
• 升环施法效应：使用2环或更高法术位施展该法术时，你使用的法术位每比1环高一环，其给予的临时生命值就增加5。</t>
  </si>
  <si>
    <t>• 在施法距离内指定至多五个正坠落的生物。受术生物的坠落速度在法术持续时间内降低至每轮60尺。如果该生物在法术终止前落地，则其不会受到任何坠落伤害，且可以安全的用脚着地。着地后法术对该生物的效应随即终止。</t>
  </si>
  <si>
    <t>• 你获得一只为你服务的魔宠。以下列动物为原型选择魔宠的动物精魂外貌：蝙蝠 bat、猫 cat、螃蟹 crab、青蛙 frog（蟾蜍 toad）、鹰 hawk、蜥蜴 lizard、章鱼 octopus、猫头鹰 owl、毒蛇 poisonous snake、鱼 fish（食人鱼 quipper）、老鼠 rat、渡鸦 raven、海马 sea horse、蜘蛛 spider、鼬鼠 weasel。魔宠出现在施法距离内一处未被占据的空间，虽然有着所选的生物属性数据，但其种类为天界生物，精类生物或邪魔（由你选择）而不是野兽。
• 你的魔宠可以独立行动，不过会随时遵循你的指令。战斗时，它为自己骰先攻，并在自己的回合里行动。魔宠无法攻击，但是它能如常执行其他动作。
• 魔宠的HP降为0时自行消失，且不会留下任何物理残余，而当你重新施展该法术后它会重新出现。
• 你的魔宠在你身边100尺范围内时，你可以与其进行心灵交流。此外，你还可以用一个动作将自己的视觉和听觉切换到魔宠的感官，并一持续至你下一回合。在此期间，你同时享有该魔宠自身的特殊感官，而你本体的感官则等同于陷入耳聋以及目盲状态。
• 你可以用一个动作暂时的解散你的魔宠。此时它将进入一个小位面等待你的重新召唤。或者，你也可以选择永久解散它。暂时解散时，你可以用一个动作召唤它出现在30尺内任意未占据的空间中。
• 你不能同时拥有一只以上的魔宠，如果你在已有魔宠的状况下施展该法术，则你可以为现有的魔宠选择的新的形态（从以上列表选择）。
• 此外，当你施展施法距离为触及的法术时，你的魔宠可以帮你传递法术，其效果就如同该法术由魔宠施展一样。此时你的魔宠必须在你身边100尺范围内，且其必须可以执行反应来传递法术。如果传递的法术需要进行攻击检定，则该检定将使用你自己的攻击调整值。</t>
  </si>
  <si>
    <t>• 你以施法距离内一点为中心创造一片半径20尺的球状浓雾。浓雾在球形内充斥所有角落，并造成重度遮蔽。浓雾持续至法术持续时间结束，但仍可被和风或更强风势（至少每小时10里）所吹散。
• 升环施法效应：使用2环或更高法术位施展该法术时，你使用的法术位每比1环高一环，浓雾的半径就增加20尺。</t>
  </si>
  <si>
    <t>• 你触碰一个自愿生物，在法术持续时间内，他的先攻掷骰中可以加入一个额外的D8。</t>
  </si>
  <si>
    <t>• 至多10个浆果出现在你手里。果子在法术持续时间内充满魔法，一个生物可用动作吃下其中之一并以此恢复1点生命值，且一枚浆果就可以满足该生物一整天的营养需求。
• 创造的浆果如果在法术施展后的24小时内没有被吃掉就会失去其效力。</t>
  </si>
  <si>
    <t>• 你在施法距离内指定一点，光滑的油脂以该点为中心覆盖一处10尺的方状区域。在法术持续时间内。该区域变为困难地形。
• 油脂出现时，站在其范围内的每个生物必须进行一次敏捷豁免，豁免失败则失足倒地。进入该区域或在区域内结束其回合的生物也必须进行该敏捷豁免，豁免失败则失足倒地。</t>
  </si>
  <si>
    <t>• 一道闪光快速飞向施法距离内你指定的一个生物，并对该目标进行一次远程法术攻击检定。命中时，目标受4d6点光耀伤害。由于目标身上闪耀着秘法的微光，在施法者下个回合结束前，对该目标发动的下一次攻击检定具有优势。
• 升环施法效应：使用2环或更高法术位施展该法术时，你使用的法术位每比1环高一环，伤害就增加1d6。</t>
  </si>
  <si>
    <t>• 你在法术终止前进行的下一次远程武器攻击命中时会从你的远程武器或弹药中创造出棘刺，并形成一片棘刺之雨。除了攻击产生的正常效果外，受攻击的目标及目标身边5尺范围内的所有生物还必须进行一次敏捷豁免，豁免失败者将受到1d10点穿刺伤害，豁免成功则伤害减半。
• 升环施法效应：使用2环或更高法术位施展该法术时，你使用的法术位每比1环高一环，伤害就增加1d10（最大伤害6d10）。</t>
  </si>
  <si>
    <t>• 你指定施法距离内一个你能看见的生物并恢复其生命值，恢复量等于1d4＋你的施法关键属性调整值。该法术对构装体和不死生物无效。
• 升环施法效应：使用2环或更高法术位施展该法术时，你使用的法术位每比1环高一环，治疗量就增加1d4点。</t>
  </si>
  <si>
    <t>• 你伸指一点，伤害你的生物立刻被炼狱的烈焰包围。该生物必须进行一次敏捷豁免，豁免失败则受到2d10点火焰伤害，豁免成功则伤害减半。
• 升环施法效应：使用2环或更高法术位施展该法术时，你使用的法术位每比1环高一环，伤害就增加1d10。</t>
  </si>
  <si>
    <t>• 你触碰一个自愿生物使其充满勇气。该生物直至法术终止前免疫恐慌，且它将在其每回合开始时获得临时生命值，其数值等于你的施法关键属性调整值。法术终止时，目标失去所有来自该法术的临时生命值。
• 升环施法效应：使用2环或更高法术位施展该法术时，你使用的法术位每比1环高一环，就可以额外指定一个目标。</t>
  </si>
  <si>
    <t>• 你对施法距离内一个你能看见的一个生物施加诅咒。直到法术终止前，你命中该目标的任意攻击都将额外造成1d6点黯蚀伤害。此外，你在施展该法术的同时选择一项属性，使该目标进行所选属性的属性检定时具有劣势。
• 如果目标在法术终止前HP降至0，则你可以在法术终止前后续的某一回合中使用一个附赠动作诅咒另一个生物。
• 对受术目标施展法术移除诅咒remove curse后可以提前终止该法术。
• 升环施法效应：使用3环或4环法术位施展该法术时，其专注可以维持至多8小时。使用5环或更高法术位施展该法术时，其专注可以维持至多24小时。</t>
  </si>
  <si>
    <t>• 你指定施法距离内一个你能看见的生物并以魔法标记其作为你的猎物。直至法术终止前，你每次以武器攻击命中该目标时都会额外造成1d6点伤害，且每当你为寻找目标生物而进行感知（察觉）或感知（生存）检定时都具有优势。如果在法术结束前目标HP降至0，则你可以在法术结束前的后续某一个回合中用一个附赠动作标记另一个生物。
• 升环施法效应：你使用3环或4环法术位施展该法术时，该法术的专注可以至多维持8小时。你使用5环或更高法术位施展该法术时，该法术的专注可以至多维持24小时。</t>
  </si>
  <si>
    <t>• 你制造出一块冰晶裂片，并将它射向距离内的一个生物。你对目标进行一次远程法术攻击。若击中，目标受到1d10点穿刺伤害。无论击中与否，裂片都会在之后爆裂。目标和周围5尺范围内的每个生物必须通过一次敏捷豁免检定，否则受到2d6点冷冻伤害。
• 升环施法效应：当你使用2环或更高的法术位施放该法术时，使用的法术位每高一环，冷冻伤害便增加1d6点。</t>
  </si>
  <si>
    <t>• 你指定一个物件，并在施法过程中一直与其保持接触。如果该物件是魔法物品或其他附有魔力的物件，则你将知晓其属性和使用方式，以及了解是否需要与之同调。若它是充能物品则你将得知它现存的可用次数。你还可以发现是否有法术正影响该物件，以及可能存在的法术效应具体来自哪项法术。如果目标由法术所创，则你将知晓具体来自哪项法术。
• 如果你施法过程中一直接触的是一生物，则你将知晓其是否受法术影响，及产生影响的法术效应具体来自哪项法术。</t>
  </si>
  <si>
    <t>• 你在羊皮纸，纸张或是其他适合书写的材质上书写文字并对其施加一个强力的幻象。其效应将持续至法术终止。
• 文件对于你和你施法时所指定的生物而言是一份普通的文件，文件内容即是以你的笔迹传达你写下手稿时想要传达的一切意义。而对于所有其他阅读者而言，该文件看起来就像由难懂的未知文字或魔法文字所书写。此外，你还可以使该文件呈现出完全不同的信息，使其看起来是用另一种笔迹或者语言所书写，不过你必须懂得该语言。
• 如果法术被解除，则幻象和原始手稿一同消失不见。
• 拥有真实视觉的生物可以读出其内被隐藏的信息。</t>
  </si>
  <si>
    <t>• 你对触及范围内一个生物发动一次近战法术攻击。命中时，目标受到3d10点黯蚀伤害。
• 升环施法效应：使用2环或更高法术位施展该法术时，你使用的法术位每比1环高一环，伤害就增加1d10。</t>
  </si>
  <si>
    <t>• 你触碰一个生物，并使该生物的跳跃距离在法术持续时间内增至三倍。</t>
  </si>
  <si>
    <t>• 你触碰一个生物，该目标速度在法术持续时间内增加10尺。
• 升环施法效应：使用2环或更高法术位施展该法术时，你使用的法术位每比1环高一环，你就可以额外指定一个目标。</t>
  </si>
  <si>
    <t>• 你触碰一个未着装护甲的自愿生物，使其受一个保护性魔法力场环绕直至法术终止。目标的基础AC变为13＋它的敏捷调整值。目标着装护甲或你以一个动作解散该法术后法术随之终止。</t>
  </si>
  <si>
    <t>• 你创造三枚由魔法力场形成的闪光飞镖，并让每发飞镖命中施法距离内你能看见的指定生物。每发飞镖对目标造成1d4+1点力场伤害。所有飞镖同将时命中目标，而你还可以指定它们击中同一个目标或是分别击中几个目标。
• 升环施法效应：使用2环或更高法术位施展该法术时，你使用的法术位每比1环高一环，该法术就会多制造出一支飞镖。</t>
  </si>
  <si>
    <t>• 施法距离内你可见的一点的10尺半径球形范围内的重力暂时性地增加了。
• 在你施法时，所有处于该范围内的生物必须通过一个体质豁免。若豁免失败，该生物受到2d8点力场伤害且其移动速度在他的下个回合结束前减半。若豁免成功，该生物受到一半的伤害且在移动速度上没有减值。
• 直到你的下个回合开始，任何想要把该范围内未被着装或携带的物品移动或捡起都需要进行一次对抗你的法术豁免DC的成功的力量检定，若成功才可行。
• 升环施法效应：每当你使用2环或更高的法术位施展该法术时，每比1环多一的法术位能使该法术的伤害增加1d8。</t>
  </si>
  <si>
    <t>• 在法术终止前，你触碰的一个自愿生物获得针对以下所有类型生物的防护：异怪、天界生物、元素生物、精类生物、邪魔和不死生物。
• 该防护提供以下增益：该类生物对目标生物进行的攻击检定具有劣势；目标不会被该类生物魅惑，恐慌或附身；如果目标已被该类生物影响而陷入魅惑、恐慌，或被附身，则目标之后进行对抗相关效应的豁免检定时具有优势。</t>
  </si>
  <si>
    <t>• 你指定施法距离内一点，净化指定点周围半径5尺球状区域内的非魔法饮食品，并驱除其浸染的所有毒素和疾病。</t>
  </si>
  <si>
    <t>• 一道恶心的浅绿射线朝施法距离内一个生物射去。你对目标进行一次远程法术攻击。若命中，则目标受到2d8点毒素伤害且必须进行一次体质豁免，豁免失败则目标陷入中毒，该中毒效应持续至你的下一回合结束。
• 升环施法效应：使用2环或更高法术位施展该法术时，你使用的法术位每比1环高一环，伤害就增加1d8。</t>
  </si>
  <si>
    <t>• 你的法术保护一个施法距离内的生物不受攻击。在法术终止前，任何试图对受保护者进行攻击或对受保护者施放伤害性法术的生物都必须进行一次感知豁免。豁免失败则该生物必须选定一个新目标，否则将失去本次的攻击或法术。该法术不能保护受术者免受范围效应（如爆炸或火球）的影响。
• 受保护者进行攻击或施放任何影响敌对生物的法术时，该法术随之终止。</t>
  </si>
  <si>
    <t>• 你在法术持续时间内下一次用近战武器攻击命中某个生物时将在武器上闪现出白热的光芒。该攻击对目标造成额外的1d6点火焰伤害，并点燃目标。直至法术终止前，目标在自己每一回合开始时都要进行一次体质豁免。豁免失败则受到1d6点火焰伤害。豁免成功则法术终止。如果目标或其身边5尺内的另一个生物用一个动作来扑灭其身上的火焰，或有其他某种效果熄灭了火焰（例如目标跳入水中），则法术终止。
• 升环施法效应：使用2环或更高法术位施展该法术时，你使用的法术位每比1环高一环，最初一次攻击造成的额外伤害就增加1d6。</t>
  </si>
  <si>
    <t>• 一道看不见的法力护盾浮现在你身边，保护着你。在你的下一回合开始前，你的AC 具有+5加值（在触发该法术的攻击之前生效），并且不会受到魔法飞弹的伤害。</t>
  </si>
  <si>
    <t>• 围绕着施法距离内你指定的一个生物出现一片闪着微光的魔法力场。使目标在法术持续时间内AC获得+2加值。</t>
  </si>
  <si>
    <t>• 你创造一个影像，其形象来自一个大小不超过边长15尺立方体的物件，生物或其他的可视现象。影像出现在施法距离内你能看见的一处位置并在法术持续时间内持续存在。该影像是纯粹的视觉影像；它不会被听觉，嗅觉或其他感官感受到。
• 你可以用动作将影像移动到施法距离内的另一个位置。影像改变位置时，你可以改变影像的外观使其移动得更自然。例如，如果你创造了一个生物的影像并移动它，则你可以改变影像，使它看起来就像是在走路。
• 由于影像无法被碰到，任何与该影像进行的物理互动都会暴露其幻象的本质。一个生物用其动作调查影像时，它可以进行一次对抗法术豁免DC的智力（调查）检定，以判定是否看穿幻象。辨出幻象的生物可以看破该影像，在该生物看来会透过影像看到其背后的事物。</t>
  </si>
  <si>
    <t>• 该法术使一些生物陷入魔法造成的沉睡中。掷一次5d8；其结果为受该法术影响生物的生命值总数。你指定施法距离一点，该点周围20尺区域内的生物以剩余生命值由小至大的顺序受法术影响（生效时忽略昏迷生物）。
• 计算受法术影响生物时，从剩余生命值最低的生物开始逐个计算。每个受术生物均陷入昏迷，直至法术终止。睡眠者受到伤害也会惊醒，又或者由其他人以一个动作将其摇醒或打醒。法术掷骰的生命值总数减去一个受术生物的生命值后，余数再用以计算生命值稍高者是否受法术影响。生物剩余生命值，必须小于等于该余数法术才能成功影响该生物。
• 不死生物以及免疫魅惑效果的生物不受该法术影响。
• 升环施法效应：使用2环或更高法术位施展该法术时，使用的法术位每比1环高一环，法术的掷骰就增加2d8。</t>
  </si>
  <si>
    <t>• 当你施展此法术时，用线绳在一处处于你触及内的地面或地板上创造一个5尺半径的圆圈。当你完成施法时，线绳消失，化为一个魔法陷阱。
• 陷阱几乎是隐形的，要找到它需要一次成功的对抗你的法术豁免DC的智力（调查）检定。
• 当一个小型、中型或大型的生物移动进入受到此法术保护的区域时，陷阱就会触发。触发的生物必须通过一次敏捷豁免检定否则摔倒、应击倒地，并被魔法性地上下颠倒的举到半空中，直到它距离被保护的地面或地板3尺高。生物被束缚在那里直到法术结束。
• 被束缚的生物可以在其每个回合的结束时进行一次敏捷豁免检定，成功则结束被束缚。或者，其他能触及被束缚的生物可以进行一次智力（奥秘）检定，对抗你的法术豁免DC。成功则束缚的效果也会结束。
• 在陷阱被触发之后，当没有生物被它束缚时，法术将会结束。</t>
  </si>
  <si>
    <t>• 你在法术持续时间内获得理解野兽并与其沟通的能力。许多野兽智力不高，因此它们的认知水平相当有限，但它们至少能向你提供关于周围地域和怪物的情报，包括任何它们现在以及在前一日内察觉到的东西。你也许可以说服野兽帮你一些小忙，是否成功则由DM来判断。</t>
  </si>
  <si>
    <t>• 一股30尺长，5尺宽的的线状强酸从你的位置向你指定的任意方向喷射而出。在线状区域内的每个生物必须进行一次敏捷豁免，豁免失败者将在法术持续时间内被强酸覆盖，或直到自己或其他生物用一个动作从其身上刮下或者洗下。被强酸覆盖的生物在每个自己回合开始时受到2d4点强酸伤害。
• 升环法术效应。使用2环或更高法术位施展该法术时，你使用的法术位每比1环高一环，法术的伤害就增加2d4。</t>
  </si>
  <si>
    <t>• 指定施法距离内一个你能看见的生物，如果该生物可受法术影响，则一切事物在该生物眼中都变得滑稽可笑，使它开始狂笑起来。目标必须进行一次感知豁免，豁免失败则俯身倒地，并在法术持续时间内陷入失能状态且无法起立。该效应对智力为4或更低的生物无效。
• 目标在其每回合结束或受到伤害时，可以再进行一次感知豁免。豁免成功则法术终止。再进行豁免时，如果是因受到伤害所致则该次豁免具有优势。</t>
  </si>
  <si>
    <t>• 指定施法距离内一处你能看见的未被占据空间，并在该处创造一个圆盘状的碟型水平力场。浮碟直径3尺，厚1寸，悬浮在离地3尺的半空。其可以在法术持续时间内持续存在，并至多可负载500磅重量。如果放在浮碟上的物件重量超过500磅，则该法术立即终止，浮碟上的所有东西也将掉落地面。
• 浮碟在你20尺内时静止不动。只要你与其距离超过20尺，浮碟就会跟随你移动，并保持在你的20尺范围内。浮碟可以自由通过崎岖地形，上落的阶梯，斜坡面或者诸如此类的地面，但它不能越过高差超过10尺的地面。例如，浮碟不能越过一个10尺深的坑；如果浮碟造在坑里，则它也无法离开这个深坑。
• 如果你和浮碟间的距离超过100 尺（通常是因为它受障碍所阻无法跟上你），则法术随即终止。</t>
  </si>
  <si>
    <t>• 你在法术持续时间内下一次用近战武器攻击命中某个生物时将发出雷霆巨响，并使你周围300尺都能听见该响声。该攻击对目标造成额外2d6点雷鸣伤害，如果目标是一个生物，则它必须要进行一次力量豁免，豁免失败则目标往远离你的方向推动10尺并应击倒地。</t>
  </si>
  <si>
    <t>• 一道雷鸣波从你的身体向外扫去。在以你为源点15尺立方区域内的每个生物必须进行一次体质豁免。豁免失败者将受到2d8点雷鸣伤害，并被推离10尺。豁免成功则伤害减半，且不会被推离。
• 此外，所有完全位于该区域内且没被固定住的物件都将被自动推离10尺。而该法术还会发出方圆300尺内都能听见的雷霆巨响。
• 升环施法效应：使用2环或更高法术位施展该法术时，你使用的法术位每比1环高一环，法术的伤害就增加1d8。</t>
  </si>
  <si>
    <t>• 该法术创造出一个无心智、无实体的隐形力场。你可以在法术终止前命令它进行简单的工作。该仆从被创造出来后出现在施法距离内一处未被占据空间的地面上。其AC为10，生命值为1，力量为2，且不能攻击。若仆从的生命值降至0，则法术终止。
• 你可以自己每个回合内以一个附赠动作对仆役下达精神命令，使它移动最多15尺并与一个物件进行互动。仆从可以做人类仆从能做到的简单工作，例如拿取东西、打扫卫生、修补东西、叠衣服、点火、上菜、倒酒等。一旦你下达了命令，仆从就会尽全力去做你命令它做的工作直至完成，并在完成任务后静待你的下一个命令。
• 如果你命令仆从做一件需要它离开你身边60尺的工作，则法术随之终止。</t>
  </si>
  <si>
    <t>• 一支缠绕着碎裂魔力的蓝色能量长矛射向施法距离内的一个生物，并在你与目标之间生成一道持久的闪电弧。对目标生物进行一次远程法术攻击。若命中，则目标受到1d12点闪电伤害。在法术持续时间内，你在每个自己的回合中可以用一个动作直接对目标造成1d12点闪电伤害。如果你执行动作做其他任何事情，法术将随即终止。此外，如果目标离开法术的施法距离或相对你处于全身掩护状态，法术也将随即终止。
• 升环施法效应：使用2环或更高法术位施展该法术时，你使用的法术位每比1环高一环，法术的初始伤害就增加1d12。</t>
  </si>
  <si>
    <t>• 你在法术持续时间内，下一次近战武器攻击命中时，对目标造成额外1d6点心灵伤害。此外，如果目标是一个生物，则其必须进行一次感知豁免。豁免失败则目标生物将在法术终止前持续陷入对你恐慌的状态。该生物可以用一个动作来尝试重拾斗志，并进行一次对抗该法术DC的感知检定，检定成功则法术即刻终止。</t>
  </si>
  <si>
    <t>• 你行动如风。在持续时间内，你的移动不会导致借机攻击。
• 此外，在此法术结束前仅一次，你可以在自己的回合让自己的一次武器攻击检定获得优势。这次攻击若击中会造成额外1d8力场伤害。无论你是否击中，你的步行速度都会增加30尺，直到这个回合结束。</t>
  </si>
  <si>
    <t>• 当你试图卖掉从混沌神殿中解放出来的那座奇异章鱼雕像时，你是否需要从那个无良商人口袋里再压榨几块黄金？当收税员驻足你的身前时，你是否需要贬低一些魔法资产的价值呢？扭曲价值法术为你保驾护航。
• 你施展此法术于边长不超过1尺的一个物件上，以幻术的滋养和抛光来加倍它看起来的价值，或者是用虚幻的划痕、凹陷和其他不雅的特征来减半它看起来的价值。任何检查物件的人，可以通过智力（调查）检定对抗你的法术DC，若成功将会确定它的真实价值。
• 升环施法效应：当你使用2环或更高的法术位施展该法术时，使用的法术位每比1环高一环，目标物件的最大尺寸就可以增加1尺。</t>
  </si>
  <si>
    <t>• 每一个法师学徒都会施展无聊的古董魔法飞弹。啊哈，它总是击中目标。（哈欠）。别再干你祖父流传下来的苦差事了，来像吉姆• 达克马奇那样，用这个改进版本的法术吧！
• 你创造了三个扭曲着的，尖啸着的，低过敏的，无麸质的魔法立场飞镖。每一枚飞弹都瞄准一个在施法距离内由你选择的可见生物。为每一枚飞弹进行远程攻击检定。若命中，飞弹将对这个目标造成2d4点力场伤害。
• 如果这次攻击检定形成了一次重击，取代了正常重击形成的两次伤害骰，那枚飞弹的目标将受到5d4力场伤害。但是如果任何一个飞弹的攻击检定为1，所有飞弹都会丢失他们的目标并且在你的脸上爆炸。那时每一枚飞弹都会对你造成1点伤害。
• 升环施法效应：当你使用2环或更高的法术位施展该法术时，使用的法术位每比1环高一环，法术就可以多创造一枚飞镖，但是版权成分也会增加1gp。</t>
  </si>
  <si>
    <t>• 你魔法地让触发生物分心，将其短暂的迟疑转变为另一个生物的鼓励。触发生物必须重新投掷d20并选用较低的结果。
• 之后你能选择施法距离内的一个不同生物（可以是你自己）。选择的生物在接下来的一分钟里的第一次攻击检定、属性检定或豁免检定中具有优势。一个生物在同一时间里只会拥有一次来自该法术的增益。</t>
  </si>
  <si>
    <t>• 一道长30尺，宽5尺的翻涌火线从你向一个你选定的方向蔓延。在该线中的生物必须进行一次敏捷豁免检定。豁免失败的生物受到3d8点火焰伤害，而豁免成功则只受到上述伤害的一半。
• 升环施法效应：当你使用3环或更高的法术位施放该法术时，使用的法术位每高一环，伤害便增加1d8。</t>
  </si>
  <si>
    <t>• 你的法术增强了盟友的韧性和毅力。在施法距离内指定至多三个生物。每个目标的生命值上限和当前生命值在法术持续时间内提高5点。
• 升环施法效应：使用3环或更高法术位施展该法术时，你使用的法术位每比2环高一环，每个目标的生命值上限和当前生命值就额外提高5点。</t>
  </si>
  <si>
    <t>• 你变换了自身形态。施法时，从以下选项中选择其一生效，并维持至其持续时间结束。你还可以在持续时间内以一个动作在选项间切换。
• 水生适应 Aquaatic Adaptation：你长出鳃和蹼以适应水中行动。你可以在水下呼吸，并且获得等同于步行速度的游泳速度。
• 改变外貌 Change Appearance：你改变了自己的外貌。你可以自行设定自己的外观：包括身高、体重、面部细节、声线、头发长短、肤色以及（可能具有的）独特外貌特征。你可以让自己看起来像是其他种族，但你的角色数值不会改变。你无法改变体型或是基础身体轮廓。例如，如果你两足行动，就不能变为四足生物。你可以在持续时间内以一个动作改变这些外貌细节。
• 天生武器 Natural Weapon：你长出尖牙锐爪、棘刺长角，或是其他类型的一种自选的天生武器。所选的天生武器可以使你的徒手打击造成1d6的钝击、挥砍或穿刺伤害，且你视为具有徒手打击的熟练项。另外，该天生武器视为魔法武器，且你在使用它进行的攻击检定和伤害掷骰均具有+1加值。</t>
  </si>
  <si>
    <t>• 该法术令你可以利用动物传递信息。在施法距离内指定一只你能看见的微型野兽（比如松鼠，蓝松鸦，或是蝙蝠）。再选择一个你曾造访过的地点，然后描述收信人的基本信息，如“一个穿着城镇守卫制服的男人或女人”或“一个戴着尖顶帽子的红发矮人”。最后再说出一段不超过二十五个单词的信息。目标野兽将会在法术持续时间内前往你选定的地点。会飞的信使24小时内可移动50里，不会飞的信使只能移动25里。
• 信使抵达目的地后，会模仿你的声音把信息传递给你描述的人。信使只会把信息传递给符合你描述的人。如果法术持续时间内信使未能抵达目的地则信息将遗失，而曾作为信使的野兽将自行寻路返回你施法的地点。
• 升环施法效应：使用3环或更高法术位施展该法术时，你使用的法术位每比2环高一环，其法术持续时间就增加48小时。</t>
  </si>
  <si>
    <t>• 你触碰关上的一扇门，一扇窗，一个箱子或其他出入口，并使目标在法术持续时间内保持锁闭状态。施法时，你还可以设定允许你和其他若干生物正常打开该物件。你还可以设置一条密语，在该锁闭物件5尺内念出密语时，秘法锁将被压制1分钟。该物件只有在法术被压制、被解除，或物件本身遭破坏时才能打开。对物件施放敲击术 Knock将使其秘法锁法术在10分钟内受压制。
• 受该法术影响的物件更难被撬开或破坏。对其进行破坏或撬锁时，其相应DC增加10。</t>
  </si>
  <si>
    <t>• 借由镶嵌宝石的小短棒，龙骨，卡牌或是其他占卜器具，你从异界存在处获得对某件你计划在接下来的30分钟内做的事的预示。DM从下列预示中选取一个：
→吉：预示着好的结果。
→凶：预示着坏的结果。
→吉且凶：预示着结果既有好的方面，也有坏的方面。
→无：预示着结果并无明显的好坏分别。
• 此法术不会将任何可能影响结果的偶然事件考虑在内。例如，额外施放某个法术，或是得到/失去某个同伴。
• 若你在两次长休之间使用两次或更多次的卜筮术 Augury，则法术有概率会给出随机的结果。此概率从第二次施展起每次累计25％。具体结果由DM暗骰决定。</t>
  </si>
  <si>
    <t>• 你触碰一个自愿生物，并使目标的皮肤在法术终止前呈现粗糙的树皮状外观。期间目标无论着装何种护甲，其AC将不会降至16以下。</t>
  </si>
  <si>
    <t>• 你触碰一只自愿的野兽。在法术持续时间内，你可以使用动作来将自己的视觉和听觉切换至受术野兽的感官，随后直至你再使用动作来恢复正常的知觉。
• 通过野兽的感官感知四周时，你还会获得该生物本身具有的特殊感官，不过你对本体周围的状况视为等同于同时陷入目盲和耳聋状态。</t>
  </si>
  <si>
    <t>• 你尝试令敌人目盲或耳聋。在施法距离内指定一个你能看见的生物，并迫使其进行一次体质豁免。豁免失败者将在法术持续时间内陷入目盲或耳聋（由你选择）。目标可以在每次自己回合结束时再进行一次体质豁免，豁免成功则法术终止。
• 升环施法效应：使用3环或更高法术位施展该法术时，你使用的法术位每比2环高一环，就可以多指定一个目标。</t>
  </si>
  <si>
    <t>• 你的身影变得模糊，并在别人眼里闪烁不定。在法术持续时间内，任何生物对你发动的攻击检定具有劣势。不依赖视觉（例如盲视）或可以看穿幻象（例如真实视觉）的攻击者免疫此效应。</t>
  </si>
  <si>
    <t>• 你在法术终止前的下一次武器攻击命中某生物时武器闪烁如明星，并对目标额外造成2d6点光耀伤害。如果目标处于隐形状态，则该斩击将使其可见，且因其身上散发出５尺半径的微光而无法隐形，直至该法术终止。
• 升环施法效应：使用３环或更高法术位施展该法术时，你使用的法术位每比２环高一环，法术的伤害就增加1d6。</t>
  </si>
  <si>
    <t>• 你试图抑制一群人的强烈情感。指定施法距离内一点，并迫使该点周边半径20尺球状区域内的每个类人生物进行一次魅力豁免。受术生物可以自愿放弃豁免。豁免失败者将由你选择以下两项效应之一对其生效。
• 你可以选择压制任何使目标受魅惑或恐慌的效应。法术终止时，若被压制效应持续时间仍未完结，则该效应继续生效。
• 或者，你也可以选择使目标改变对某个你所指定生物的态度，由敌对变为冷漠。如果目标被攻击，或者被有害法术影响，又或者发现其盟友受到损害，则此效应终止。法术终止时，除非DM另行裁决，否则目标的态度恢复敌对。</t>
  </si>
  <si>
    <t>• 你在施法距离内指定一点，并以该点为中心，将一个边长5尺的立方区域充满魔法创造的旋转匕首。生物在区域内开始其回合，或者在一个回合内第一次进入该区域时将受到4d4点挥砍伤害。
• 升环施法效应：使用3环或更高法术位施展该法术时，你使用的法术位每比2环高一环，法术的伤害就增加2d4。</t>
  </si>
  <si>
    <t>• 你在所触碰物件上制造如火把一样亮的火焰，使其看上去与一般火焰无异，不过其并不会发热，也不需要燃烧氧气。你可以掩盖或隐藏它，但无法将之闷熄或扑灭。</t>
  </si>
  <si>
    <t>• 你将四发非魔法的弹药（箭或者弩矢）插在施法距离内的地面并在其上附加魔法让其防御这片区域。直至法术终止前，箭矢将警戒其周围30尺的区域，任何生物在一回合内第一次进入该区域或者在该区域结束其回合时，其中一发箭矢将飞起并射向该生物。该生物必须进行一次敏捷豁免，豁免失败者将受到1d6点穿刺伤害，而射向目标的一发箭矢也将随之被摧毁。当所有箭矢都以该方式摧毁后，法术将随之终止。
• 施展该法术时，你可以指定任意的生物使法术的警戒效应将其排除在外。
• 升环施法效应：使用3环或更高法术位施展该法术时，你的法术位每比2环高一环，可生效的弹药数量就增加两发。</t>
  </si>
  <si>
    <t>• 你指定施法距离内一名你能看见的类人生物，并迫使该生物进行一次感知豁免，豁免失败则该生物将在法术持续时间内受你魅惑。以该方式被魅惑的生物其头顶上将出现铁质锯齿的扭曲头冠，而其眼神则闪烁着疯狂。
• 受魅惑目标在其每个回合里，必须在移动前对身边一个你在心中指定的生物发动一次近战攻击。如果你并没有为其指定目标，或者其触及范围内并没有目标，则该生物在本回合里可以按正常状态行动。
• 施法后你在每个自己回合里必须用你的动作维持对目标的控制，否则法术将提前终止。另外，受术目标还可以在每个自己回合结束时再进行一次感知豁免，豁免成功则法术终止。</t>
  </si>
  <si>
    <t>• 你在施法距离内指定一点，并在法术持续时间内使魔法的黑暗充斥该点半径15尺的球状区域。该黑暗会绕过拐角扩散，连拥有黑暗视觉的生物也无法看穿这这种黑暗，而非魔法的光照也无法在区域内提供照明。
• 如果你将法术目标设置于你正持握或未被穿着携带的物件，则黑暗将从物件周围漫出并跟随物件移动。将该物件完全掩盖时（比如用碗或头盔盖住），也会将其漫出的黑暗隔绝。
• 如果法术区域内有任何2环或更低环阶法术创造的光源，则这些造光的法术将被解除。</t>
  </si>
  <si>
    <t>• 你触碰一个自愿的生物，并给予其在黑暗中视物的能力。在法术持续时间内，该生物将拥有60尺的黑暗视觉。</t>
  </si>
  <si>
    <t>• 你在法术持续时间内能读取特定生物的思想。你可以在施展法术时，或者在法术持续时间内以一个动作实现该效应。此时，受术生物必须身处你30尺内并且能被你看见，而你必须对其集中注意力。如果该生物智力为3或更低，或者不懂任何语言，则该生物不受影响。
• 你最初了解的是该生物的表面想法，一般就是其此刻正想着的东西。你可以使用动作继续深入一个生物的思想，也可以用动作转移读心的目标。如果你继续深入，则目标必须进行一次感知豁免。豁免失败时，你了解到他的逻辑推理（如果有的话）、情绪状态以及他头脑中的一些大事（比如忧虑、挚爱和仇恨的事物）。豁免成功时，本法术终止。无论哪种情况，目标都会知道你正在窥探他的思想。除非你转移注意力到其他生物，否则他可以在其回合内使用动作进行一次智力检定，并与你的智力检定作对抗；生物胜出对抗时，法术终止。
• 向目标提问可以引导目标的思想历程，因此此法术在审讯中特别有效。
• 你还能用此法术侦测看不见的有思维生物。你可以在施展法术时，或者在法术持续时间内以一个动作实现该效应。此时，你可以搜寻30 尺内的思想。该法术可以穿透大部分障碍，但仍会被2尺厚的石质，或2寸厚的金属质，或一层薄铅质材料所阻隔。你无法侦测到智力为3或更低的生物，也无法侦测不懂任何语言的生物。
• 以该方式侦测到一个生物后，你可以在法术持续时间内如上文所述的读取其思想。你甚至不需要看见该生物，但其必须在其30尺内。</t>
  </si>
  <si>
    <t>• 你触碰一个自愿生物，使它能喷吐出魔法能量，只要它拥有一张嘴。选择强酸、冷冻、火焰、闪电或毒素中的一种。直到法术结束前，生物可以使用一个动作放射出15尺锥形的对应能量。区域内的每个生物必须进行敏捷豁免检定，若失败将受到3d6对应能量类型的伤害，成功则只承受一半伤害。
• 升环施法效应：当你使用3环或更高的法术位施放该法术时，使用的法术位环阶每高一环，伤害就增加1d6。</t>
  </si>
  <si>
    <t>• 选择施法距离之内，你能看见的一个5尺立方的，未被占据的空气。一股外观如同尘卷风的元素出现在那里，并在法术的持续时间内持续存在。
• 任何在尘卷风周围5尺范围内结束其回合的生物必须进行一次力量豁免检定。若检定失败，该生物受到1d8点钝击伤害并被推离10尺。若检定成功，该生物只受到上述伤害的一半，并不会被推离。
• 以一个附赠动作，你可以让尘卷风向任意方向移动至多30尺。若尘卷风移动时经过了沙子，尘土，松软的土壤或小砂砾，它将会卷起这些物质，在自身周围形成10尺半径的残骸云，持续到你下个回合的开始。残骸云对所在区域造成重度遮蔽。
• 升环施法效应：当你使用3环或更高的法术位施放该法术时，使用的法术位每高一环，伤害便增加1d8。</t>
  </si>
  <si>
    <t>• 选择距离内你能够看到的一个生物。黄色的魔法能量线缠绕着该生物。该目标必须成功通过一次力量豁免，否则其飞行速度（若有的话）在法术的持续时间内降为0尺。受到此法术影响的飞行中的生物以每轮60尺的速度安全降落，直到其撞到地面或法术终结。</t>
  </si>
  <si>
    <t>• 你触碰一个生物，并为其附上魔力强化。选择下列效应之一生效，而目标将在法术终止前维持该法术效应。
• 熊之坚韧 Bear's Endurance：目标进行体质检定时具有优势。目标同时获得2d6的临时生命值，并维持至法术终止。
• 牛之蛮力 Bull's Strength：目标进行力量检定时具有优势，且其负重翻倍。
• 猫之优雅 Cat's Grace：目标进行敏捷检定时具有优势。另外，目标在非失能状态下不会因20尺以内的坠落而伤害。
• 鹰之威仪 Eagle's Splendor：目标进行魅力检定时具优势。
• 狐之狡黠 Fox's Cunning：目标进行智力检定时具有优势。
• 枭之睿智 Owl's Wisdom：目标进行感知检定时具有优势。
• 升环施法效应：使用3环或更高法术位施展该法术时，你使用的法术位每比2环高一环，就可以多指定一个目标。</t>
  </si>
  <si>
    <t>• 你使施法距离内一个你能看见的生物或物件的大小发生改变，并在法术持续时间内维持其效应。指定一个生物或一件没有被着装携带的物品，如果目标并非自愿，则其可以进行一次体质豁免，豁免成功则法术无效。
• 如果目标是生物，则其着装物和携带物的尺寸也随之变化。随后任何从该生物身上脱离的物品都会恢复其正常大小。
• 变巨 Enlarge：目标身形尺寸变为两倍，重量变为八倍。其体型也因此提高一级，比如中型变为大型。如果目标所处空间不够容纳其变巨后的身形，则该生物或物品在有限空间下会尽可能地达到最大尺寸。在法术终止前，目标进行力量检定和力量豁免时具有优势。目标的武器也会随之变大，而使用这变大的武器发动攻击时，将造成额外1d4的伤害。
• 缩小 Reduce：目标身形尺寸变为一半，重量变为八分之一。其体型也因此降低一级，比如中型变为小型。在法术终止前，目标进行力量检定和力量豁免时具有劣势。目标的武器也会随之变小，而使用这变小的武器攻击时，将减少1d4的伤害（不会使伤害值低于1）。</t>
  </si>
  <si>
    <t>• 你编排了一段使人分心的话语，并指定施法距离内一个你能看见且可以听到你声音的生物作为法术目标。目标生物必须进行一次感知豁免并成功通过。任何不能被魅惑的生物进行该豁免时直接判定为豁免成功。如果你或你的同伴正在和该生物战斗，则其进行该豁免时具有优势。豁免失败时，目标对除你以外其他生物进行的感知（察觉）检定具有劣势，直到法术终止或目标听不到你为止。如果你陷入失能状态或不能再说话，则该法术终止。</t>
  </si>
  <si>
    <t>• 你召唤一只拥有超凡智力、力量和忠诚的灵体作为坐骑，同时与其立长期的契约。坐骑显现在施法距离内未被占据的空间，其外形由你从以下形态中选择：战马、矮种马、骆驼、麋鹿、獒犬（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</si>
  <si>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 你在施法距离内进行感测，并发现视野内的任何陷阱。该法术的目标“陷阱”包括任何可能引发的，对你有害或对你构成妨碍的突发性意外效应，而其性质也正是其创作者的意图。因此，该法术可以感测警报术 Alarm和守卫刻文 Glyph of Warding的效应区域，也可以发现某个陷坑型机械陷阱。但其不能揭示地板的某处脆弱点，或天花板的某处不稳定，又或是某个隐藏的阴沟。
• 该法术只是单纯揭示陷阱的存在。你并不能以此定位每个存在的陷阱，但你可以知晓感测到的陷阱所构成的危害的大致形式。</t>
  </si>
  <si>
    <t>• 你在一只空闲的手上召唤出一把炽热的刀刃。该到刀刃的尺寸和形状近似于一把弯刀并在法术持续时间内维持存在。当你放下刀刃时其将消失不见，但你可以用一个附赠动作重新将其唤出。
• 你可以用你的动作以该热刃发动一次近战法术攻击。若命中，则目标受到3d6点火焰伤害。
• 烈焰刀向周围提供半径10尺的明亮光照，以及该范围外10尺的微光光照。
• 升环施法效应：使用3环或更高法术位施展该法术时，你使用的法术位每比2环高两环，其伤害就增加1d6。</t>
  </si>
  <si>
    <t>• 一个直径5尺的球状火焰显现在施法距离内你指定的一处未被占据空间，并在法术持续时间内维持存在。任何生物在火球周围5尺内结束其回合时必须进行一次敏捷豁免。豁免失败者将受到2d6点火焰伤害，豁免成功则伤害减半。
• 你可以用一个附赠动作将火球移动30尺。如果你将火球推向某生物，则该生物必须进行抵抗火球伤害的豁免，而火球在该回合内停止移动。
• 移动火球时，你可以指引它越过不高于5尺的障碍，或者越过不宽过10尺的陷坑。火球将点燃任何未被着装或携带的可燃物件，并向其周围散发出半径20尺的明亮光照，以及该范围外20尺的微光光照。
• 升环施法效应：使用3环或更高法术位施展该法术时，你使用的法术位每比2环高一环，其伤害就增加1d6。</t>
  </si>
  <si>
    <t>• 你给予你自己或施法距离内你可见的一个自愿生物以潜藏的幸运。在法术结束之前，当被选中的生物进行一次攻击检定，属性检定或者豁免检定时，他能够使该法术结束并扔一颗额外的D20骰，并决定使用哪一颗D20。或者，当这个生物成为一个攻击检定的目标时，他能够使该法术结束并扔一颗额外的D20骰，并决定使用哪一颗D20:攻击者所掷骰的或通过该法术所掷骰。
• 若原D20骰有优势或劣势，那么通过该法术掷出的D20在原D20的优势或劣势生效后生效。
• 升环施法效应：使用3环或更高法术位施展该法术时，每比2环高一环的法术位可以令你指定一个额外的生物。</t>
  </si>
  <si>
    <t>• 你触碰一具尸体或其他遗骸。目标将在法术持续时间内受保护并免于腐烂且无法转变为不死生物。
• 该法术同样可以有效的延长复活目标的时间限制，因为受该法术影响下度过的时间不计入法术如死者复活 Raise Dead的时间限制内。</t>
  </si>
  <si>
    <t>• 在法术持续时间内，一道长60尺，宽10尺的线状强风从你吹向你指定的方向。每个在线状区域内开始其回合的生物必须进行一次力量豁免，豁免失败则沿着风向被推开15尺。
• 任何生物在线状区域内向你移动时，其每移动1尺必须花费2尺的移动力。
• 强风吹散区域内的毒气或雾气，并吹熄蜡烛、火把及不受保护的其他类似火焰。而有保护的火焰（比如提灯）则会剧烈摇晃并有50%的机率被吹熄。
• 在法术终止前，你可以在自己回合内以一个附赠动作改变线状风道的方向。</t>
  </si>
  <si>
    <t>• 你召唤出自然精魂抚慰伤员。这个无形的精魂出现在施法距离内你可以看见的一处5尺立方空间。精魂看起来像是透明的野兽或是妖精（由你选择）。
• 直到法术结束之前，每次你或者一个你可以看见的生物在回合里第一次进入精魂所占据的空间，或是在其中开始它的回合，你都可以让精魂为它恢复1d6点生命值（无需动作）。精魂不能治疗构装体或不死生物。此法术最大治疗次数为1+施法属性调整值次（最少两次）。
• 在你的回合中以一个附赠动作，你可以移动精魂30尺至你可以看见的另一个空间。
• 升环施法效应：当你使用3环或更高的法术位施放该法术时，使用的法术位每高一环，治疗值就增加1d6点。</t>
  </si>
  <si>
    <t>• 指定施法距离内一件你能看见的人造金属物件（例如一把金属武器，或者一套金属质的重甲或中甲），并使该物件变得炽热。施展该法术时，任何与该物件有物理接触的生物均受到2d8点火焰伤害。直到法术终止前，施法在随后的每个回合中，你都可以使用一个附赠动作再次造成该伤害。
• 如果握持或着装该物件的生物因此受到伤害，则该生物必须进行一次体质豁免。豁免失败者在无其他条件影响时将丢下该物件。如果该物件没有被丢下，则直至你的下一回合开始为止，该生物进行攻击检定和属性检定时具有劣势。
• 升环施法效应：使用3环或更高法术位施展该法术时，你使用的法术位每比2环高一环，伤害就增加1d8。</t>
  </si>
  <si>
    <t>• 指定施法距离内一个你能看见的类人生物。该目标必须进行一次感知豁免，豁免失败则其在法术持续时间内陷入麻痹。目标在其每回合结束时可以再进行一次感知豁免，豁免成功则终止其身上该法术的效应。
• 升环施法效应：使用3环或更高法术位施展该法术时，你使用的法术位每比2环高一环，你就可以额外指定一个类人生物。指定目标时，每个目标生物必须身处其他目标30尺范围内。</t>
  </si>
  <si>
    <t>• 你触摸一个至多不超过10磅的物件，使其魔法般地固定住。你与你施法时指定的生物能够如常移动它。你也可以设置一串密码，当密码在该物件5尺内被念出时，使该法术暂时被压制1分钟。
• 若该物件被固定在空中，那么它可以至多承载4000磅的重量。更重的负载会使其坠落。另外，一个生物能以其动作进行一个对抗你的法术豁免DC的力量检定。若其成功，则该物件能被他移动10尺。
• 升环施法效应：若你使用4环或5环法术位施展该法术，使该物件移动的检定DC增加5，并且它能够承载8000磅重的负载并持续24小时。如果你用6环或者更高环的法术位施展该法术，那么使该物件移动的检定DC增加10，并且它能够承载20000磅重的负载并一直持续到法术被解除。</t>
  </si>
  <si>
    <t>• 你触碰的一个生物变为隐形并维持至法术终止。目标的穿着物和携带物只要保持在其身上也随之保持隐形状态。如果目标发动攻击或施展法术，则该法术终止。
• 升环施法效应：使用3环或更高的法术位施展该法术时，你使用的法术位每比2环高一环就可以额外指定一个目标。</t>
  </si>
  <si>
    <t>• 指定施法距离内一个你能看见的物件。该物件可以是一扇门，一个盒子，一个箱子，一副镣铐，一把挂锁，或是一个其他的通过魔法或普通手段来防止被打开的物件。
• 被一把普通锁锁住的目标其锁会被解开，被卡死的目标会被松开，被闩住的目标会被打开。如果目标被多把锁锁住，则只有一把锁会被打开。
• 若你指定的目标被法术秘法锁 Arcane Locks锁住，则该秘法锁被压制10分钟，这段时间内目标可被正常开启和关闭。
• 施展该法术时，受术目标会发出一声响亮的敲击声，其声响最远300尺内都能听见。</t>
  </si>
  <si>
    <t>• 你触碰一个生物，并终止正影响它的一项疾病或一种状态。该状态可以是目盲，耳聋，麻痹或中毒其一。</t>
  </si>
  <si>
    <t>• 指定施法距离内你能看见的一个生物或物件，使其垂直上升至多20尺，并在该处维持悬浮直至持续时间结束。该法术可悬浮一个重量至多500磅的目标。一个非自愿的生物可以对法术进行一次体质豁免以避免受其影响。
• 目标只能通过推或拉一个固定的物件或平面（例如一面墙或者天花板）来进行移动，这种移动方式视为等同于攀爬。你可以在自己回合里将目标的悬浮高度向上或向下改变至多20尺：如果你自身就是该法术的目标，则你可以进行上升和下降并将其作为你移动的一部分；如果你不是该法术的目标，则你可以使用动作来移动目标，但目标必须始终处于你的施法距离内。
• 法术终止时，仍处于空中的目标会缓缓飘落到地面。</t>
  </si>
  <si>
    <t>• 你点名或描述一种野兽或植物，并专注于附近的自然之音。如果5里内存在该类生物，你将知晓其中最接近个体与你的相对方位和距离。</t>
  </si>
  <si>
    <t>• 你点名或描述一个你熟悉的物件。只要该物件与你相距不超过1000尺，你就会感测到该物件的方位。如果该物件正在移动，则你也将知晓其移动的方向。
• 该法术可定位一个你认识的特定物件，不过你需要在30尺内近距离看到过该物件至少一次；或者它也可定位特定的一类物件（如某种服装、珠宝、家具、工具或武器）中距你最近个体。
• 如果有任意厚度的铅，即使只是薄薄一片铅片阻挡了你与被定位物件间的通路，则该物件也无法被该法术所定位。</t>
  </si>
  <si>
    <t>• 你将一段信息植入施法距离内的一个物件中，其信息会在满足预设条件时说出。指定一个你能看见且未被另一生物穿着或携带的物件。然后，你可以使用至多10分钟来传达这段不超过25个单词的信息。最后再来设定触发法术传达信息的事件。
• 预设的事件发生时，目标物件上的魔法将形成一张嘴，并用与你相同的声音和音量复述所存储的信息。如果你指定的目标本身有一张嘴或者类似嘴的结构（例如雕像的嘴），则魔法嘴将生成在该嘴结构的位置，使其看起来如同是物件的嘴在说话一样。施展该法术时，你可以让法术在传达过信息后随即终止，或者也可以让法术一直持续并在每次被预设条件触发时进行复述。
• 你所决定的触发条件可以很概括也可以很具体，不过你只能根据目标物件30尺内的视觉或听觉状况来设定条件。例如，你可以命令魔嘴在任何生物移动至物件30尺内时说出信息，或者当其30尺内有银铃响起时说出信息。</t>
  </si>
  <si>
    <t>• 你触碰一件非魔法武器，并使其在法术持续时间内成为魔法武器。该武器进行攻击检定和伤害掷骰时具有+1加值。
• 升环施法效应：使用4环或更高法术位施展该法术时，加值增加至+2。使用6环或更高法术位施展该法术时，加值增加至+3。</t>
  </si>
  <si>
    <t>• 你选择距离内，你能看见的，地面上的一处5平方尺，未被占据的空间。一只由坚实的土壤形成的中型手掌出现在那里，并伸向它周围5尺内，一个你能看见的生物。该目标必须进行一次力量豁免检定。若检定失败，该生物受到2d6点伤害并在法术的持续时间内被束缚。
• 以一个动作，你可以令手掌挤压被束缚的生物，其必须进行一次力量豁免检定。若检定失败，其受到2d6点钝击伤害。检定成功则只受到上述伤害的一半。
• 要逃离束缚，被束缚的生物可以进行一次力量检定来对抗你的法术豁免DC。若成功，该生物得以逃脱，不再被手掌束缚。
• 以一个动作，你可以令手掌伸向一个其他生物，或移动到距离之内一处未被占据的其他空间。这种指令会让手掌放开被它束缚的生物。</t>
  </si>
  <si>
    <t>• 一支闪烁的绿色箭矢疾速的飞向一个施法距离内的目标，并爆散成强酸水雾。法术对目标发动一次远程法术攻击。若命中，则目标立即受到4d4点强酸伤害，并在其下一回合结束时再受到2d4点强酸伤害。若未命中，则酸液箭矢溅射到了目标，造成初始伤害一半的伤害，并且不会在下一回合结束时造成伤害。
• 升环施法效应：使用3环或更高法术位施展该法术时，你使用的法术位每比2环高一环，其初始伤害和后续伤害就各增加1d4。</t>
  </si>
  <si>
    <t>• 你接触施法距离内一个你可见生物的内心。目标必须进行感知豁免检定，若失败会受到3d8心灵伤害，成功则只承受一半。在目标豁免失败时，你在法术结束之前能时刻得知目标所在的位置，只要你们还处于同一位面上。当你拥有这个信息时，目标将不能对你躲藏，并且如果它隐形了，在对抗你时它不能从这个状态中受益。
• 升环施法效应：当你使用3环或更高的法术位施放该法术时，使用的法术位每高一环，伤害就增加1d8。</t>
  </si>
  <si>
    <t>• 三个你自身的幻象分身出现在你的位置上。直至法术终止前，分身都会随你移动，并模仿你的动作和位置变换，使人无法追踪判断哪一个是你的真身。分身存在时，你可以用动作来解散这些幻象分身。
• 在法术持续时间内，每当一个生物以你为攻击目标时，掷一次d20决定该次攻击击中的是否其中一个分身。
• 如果你有三个分身，则你必须掷出6 或更高数值才能使目标的攻击命中分身。如果你有两个分身，则你必须掷出8或更高数值。如果你有一个分身，则你必须掷出11 或更高数值。
• 分身的AC等于10＋你的敏捷调整值。单次攻击命中分身时，相应分身立即被摧毁。分身只会被一次命中它的攻击摧毁，而无视所有其他的伤害和效应。三个分身全部被毁后该法术终止。
• 如果一个生物无法视物，或者它可以依靠视觉之外的其它感官（例如盲视），又或者它可以如同真实视觉一样洞察幻象，则该法术无法影响该生物。</t>
  </si>
  <si>
    <t>• 你短暂地被银白的雾气所笼罩，传送到至多30尺内一个你能看见且未被占据的位置。</t>
  </si>
  <si>
    <t>• 指定施法距离内一点，以该点为中心半径5尺、高40尺的柱状区域内沐浴在一束淡淡的银光中。直至法术终止前，柱状区域内充满微光光照。
• 生物在一个回合内第一次进入该区域，或在该区域内开始其回合时，将被幽灵般的火焰吞噬并引起剧烈的灼痛。该生物必须进行一次体质豁免，豁免失败则受到2d10点光耀伤害，豁免成功则伤害减半。
• 变形生物进行该豁免时具有劣势，而如果它豁免失败，则将立即回复其原始形态，而它离开该法术的光照前都无法变形成其他形态。
• 你在施展该法术后的每个自己回合内可以用一个动作将华光向任意方向移动至多60尺。
• 升环施法效应：使用3环或更高法术位施展该法术时，你使用的法术位每比2环高一环，其伤害就增加1d10。</t>
  </si>
  <si>
    <t>• 你在触及的一个生物或一个物件身上设置一个幻术，使得预言法术会揭示出关于该目标的错误信息。目标可以是一个自愿的生物，或者是一个未被其他生物着装或携带的物件。
• 施展此法术时，你选择下列效应中的一个或两个。效应在持续时间内一直存在。如果你每天都对同一个生物或物件施展此法术且每次都选择相同的效应，持续30天，幻术就会一直存在直到被解除。
• 虚假灵光 False Aura：针对目标的灵光侦测法术和魔法效应（例如法术侦测魔法）将显示不同的信息。你可以使一个非魔法物件显示出魔法，一个魔法物件显示出非魔法；或者改变物件的魔法灵光，使其显示出由你选择的特定魔法学派的灵光。当你对物件设置该效应时，你可以使这种虚假的魔法向任何使用此物品的生物显示出来。
• 伪装 Mask：针对目标生物类别的侦测法术和魔法效应（例如圣武士的“神圣感知”，或法术徽记术的触发条件）将显示不同的信息。你选择一种生物类别，其他法术和魔法效应将会认为目标生物属于该类别或者属于该类别所属阵营。</t>
  </si>
  <si>
    <t>• 阴影和沉默的幕障从你身上辐射而出，并隔绝任何对你和你的同伴进行的探测。你指定自身30尺内的若干生物（包括你自己）。在法术持续时间内，目标生物进行敏捷（隐匿）检定时具有+10加值，且不能被魔法手段以外的方式追踪。拥有该加值的生物走过某处时不会留下足印或其他踪迹。</t>
  </si>
  <si>
    <t>• 你指定施法距离内一个你能够看见的生物，并创造一个根植于其意识的幻像。该目标必须进行一次智力豁免。豁免失败时，你创造出一个不大于10尺立方且只能被目标感知到的幻影物件，生物或其他你指定的可见现象。该创造将持续存在直至法术终止。且该法术对不死生物和构装生物无效。
• 该幻像包括声音、温度和其他反应因素，同样只对目标显现。
• 目标可以用其动作进行一次对抗该法术豁免DC 的智力（调查）检定来检查这个幻像。检定成功则目标意识到该幻像是一个幻术，法术随即终止。
• 目标受法术影响时会认定幻像是真实的，并且会合理化任何与幻像产生的不合逻辑的互动结果。例如，某个受术生物试图走过一座跨越峡谷的幻影桥时踏出第一步就从桥上坠落。如果目标在坠落中幸存，它会仍然相信该桥是真实存在的，并且会提出自己坠落的一些其他解释——比如被推了一把，自己滑倒了，或者可能有一阵强风把他吹了下来。
• 受法术影响的目标对幻像的真实性深信不疑，甚至还会受到幻象的直接伤害。一个生物模样的幻像可以攻击目标。比如，显现为火焰，酸池或岩浆的幻象能够烧伤目标。在你的每一回合，如果目标在幻象的伤害区域内或在其显现的生物周边5尺攻击范围内，则幻象可以对目标造成1d6 点心灵伤害。而此时目标则会感觉该伤害与幻像所显现的类型相符。</t>
  </si>
  <si>
    <t>• 你指定施法距离内至多六个你能看见的生物，并使其每人恢复2d8＋你施法关键属性调整值的生命值。该法术对不死生物和构装体不产生任何效应。
• 升环施法效应：当你使用3环或更高法术位施展该法术时，你使用的法术位每比2环高一环，治疗量就增加1d8。</t>
  </si>
  <si>
    <t>• 你触碰一个生物。如果处于中毒状态，则中和其所受毒素。如果目标身上具有超过一种毒素，则选择你所了解一种或随机选择其一进行中和。
• 在法术持续时间内，目标对抗中毒所豁免具有优势，并且对毒素伤害具有抗性。</t>
  </si>
  <si>
    <t>• 选择距离之内，你能看见的一处占满5立方尺区域的非魔法火焰。你可以熄灭区域内的火焰，或者你可以制造出焰火或浓烟。
• 焰火Fireworks：目标伴随着炫目的彩色光芒爆炸。在目标周围10尺范围内的生物必须通过一次体质豁免检定，否则在直到你的下个回合结束前的时间里处于目盲状态。
• 浓烟Smoke：目标散发出浓重的黑烟，蔓延在20尺半径的区域内，可绕过角落。烟雾所在的区域处于重度遮蔽状态。浓烟将持续1分钟或直到被强风吹散。</t>
  </si>
  <si>
    <t>• 你从指尖射出一道让人衰弱的黑色能量射线并射向施法距离内的一个生物。你对目标进行一次远程法术攻击。若命中，则目标在法术终止前，其使用基于力量的武器进行攻击时只造成一半伤害。
• 目标在其每回合结束时可以进行一次对抗该法术的体质豁免。豁免成功则法术终止。</t>
  </si>
  <si>
    <t>• 你创造出三道火焰的射线，随即将其射向施法距离内的目标。你可以把全部射线对准同一个目标，也可以瞄准不同目标。每道射线需要你分别进行一次远程法术攻击。若命中，则目标受到2d6点火焰伤害。
• 升环施法效应：使用3环或更高法术位施展该法术时，使用的法术位每比2环高一环，你就能多创造出一道射线。</t>
  </si>
  <si>
    <t>• 你能在法术持续时间内看见任何隐形的生物和物件，如同其处于正常可见状态一样。你还能够看见以太位面，而以太位面的生物和物件在你眼中会以幽灵般的半透明状出现。</t>
  </si>
  <si>
    <t>• 你将幽影交织成手中实化的剑。该魔法剑持续到法术结束。它被视为你具有熟练项的简易近战武器，命中时造成2d8心灵伤害，并具有灵巧、轻型和投掷特性（射程20/60)。当你用该剑攻击微亮光照或黑暗中的目标时，你进行的攻击检定具有优势。
• 如果你放下或投掷该武器，它将在该回合结束时消散。其后，如法术持续，你能以一个附赠动作使该剑重现于你手中。
• 升环施法效应：当你用3-4环施放该法术时，其伤害增加到3d8。5-6环时增加到4d8。7环或以上则增加到5d8。</t>
  </si>
  <si>
    <t>• 你指定施法距离内一点，并在其上忽然爆发一阵震耳欲聋的噪音。以该点为中心半径10尺球状区域内的所有生物必须要进行一次体质豁免。豁免失败者将受到3d8点雷鸣伤害；豁免成功则伤害减半。以无机物质（如石头，水晶或金属）构成的生物进行该豁免时具有劣势。
• 如果法术的范围内有一个不被任何生物着装携带的非魔法物件，则它也要受到该伤害。
• 升环施法效应：使用3环或更高法术位施展该法术时，使用的法术位每比2环高一环，法术伤害就增加1d8。</t>
  </si>
  <si>
    <t>• 你指定施法距离内一点，以该点为中心半径20尺的球状区域在法术持续时间内将无法产生任何声音，且外界的声音也无法进入该区域内。任何完全位于该区域内的生物和物件都将免疫雷鸣伤害，而任何生物在完全位于该区域内时都将陷入耳聋。此外，该区域内无法施展需要言语成分的法术。</t>
  </si>
  <si>
    <t>• 你令你能看见的天空中的一个部分出现至多10个字。文字看起来是由云彩构成的，并在法术的持续时间内留在原位。文字将会在法术终结时消失。强风可以吹散云彩，令法术提前终止。</t>
  </si>
  <si>
    <t>• 在距离之内的，一个由你指定的点上，大量的魔法雪球喷涌而出。以该点为中心，5尺半径的球形区域内的所有生物必须进行一次敏捷豁免检定。检定失败则受到3d6点冷冻伤害，成功者只受到上述伤害的一半。
• 升环施法效应：当你使用3环或更高的法术位施放该法术时，使用的法术位每高一环，伤害便增加1d6。</t>
  </si>
  <si>
    <t>• 你触碰一个自愿的生物，并使其在法术终止前能够在垂直表面上下或横向移动，其甚至可以在天花板上倒挂着移动而不需要用到双手。另外，目标获得与步行速度相等的攀爬速度。</t>
  </si>
  <si>
    <t>• 以施法距离内一点为中心周围20尺的地面扭曲变形，大片坚硬的棘刺破土而出。该区域在法术持续时间内视为困难地形。而生物进入该区域或在其中移动时，其每移动5尺就要受到2d4点穿刺伤害。
• 法术导致的地面变形经过刻意的掩饰，使其看起来并无异样。如果生物在你施展该法术时不能看见该区域，则它必须进行一次感知（察觉）检定，检定成功则能发现该区域隐藏的危险。</t>
  </si>
  <si>
    <t>• 你在施法距离内的一点创造出一把浮空的虚幻武器，并使其持续到法术持续时间结束或你再次施展该法术为止。施展该法术时，你可以对该武器周围5尺内的一个生物发动一次近战法术攻击。若命中，则目标受到1d8＋你的施法关键属性调整值点力场伤害。
• 你可以在自己回合内以一个附赠动作让该武器移动至多20尺，并再对它周围5尺内的一个生物发动一次同样的攻击。
• 该武器的外形由你决定。而如果施法的牧师侍奉的是一位和特定武器有关的神祇（例如圣库斯伯特的钉头锤、托尔的锤子），则该法术创造出武器的外形与该武器类似。
• 升环施法效应：使用3环或更高法术位施展该法术时，你使用的法术位每比2环高两环，法术的伤害就增加1d8。</t>
  </si>
  <si>
    <t>• 你以魔法影响施法距离内一个你能看见的生物，并对其施以某种行动暗示（至多以一两句话的形式）。由你指定的受术目标必须能听到并理解你的话语。而不能被魅惑的生物也将免疫此效应。你的暗示言辞必须能让其行为听起来合乎情理。要求生物刺伤它自己，自己撞向矛尖上，让它自我牺牲，或是让它做任何明显有害的行为都会直接取消该法术所产生的效应。
• 该目标必须进行一次感知豁免，豁免失败者将尽其所能地从事你所描述的行为。你所暗示的行为可能会在法术持续时间内始终一直进行。而如果你所暗示的活动可以用更短的时间完成，则此法术会在目标完成了你的要求后随即终止。
• 你也可以描述一种在持续时间内发生的特定状况，作为触发特殊行为的条件。例如，你可以暗示一队士兵将所有的钱交给他们遇到的第一个乞丐。如果在法术终止前条件始终没有满足，则指定的行为不会被执行。
• 若你或你同伴中任何人伤害了受术者，则该法术随即终止。</t>
  </si>
  <si>
    <t>• 你对施法距离内一个生物进行一次心灵打击。目标必须进行一次智力豁免。豁免失败者受到3d6点心灵伤害，并且直到其下一个回合结束前不能执行反应。此外，在其下一个回合中，他必须选择移动，执行一个动作或执行一个附赠动作；此回合内其只能进行三者之一。豁免成功者所受伤害减半，也不会受到法术的其他效应影响。
• 升环施法效应：使用3环或更高法术位施展该法术时，你使用的法术位每比2环高一环，法术就能多影响一个目标。而各目标之间距离不能超过30尺。</t>
  </si>
  <si>
    <t>• 你触碰一个自愿的生物，并让该法术的魔力保护它。该法术在你和目标之间建立一种神秘的连接，并一直持续至法术终止。目标位于你身边60尺内时，其AC和豁免检定具有 +1 加值，且对所有伤害具有抗性。此外，每当目标受到伤害时，你也会受到同样的伤害。
• 如果你的生命值降至0，或你与目标距离超过60 尺，则该法术终止。如果该法术被再次施放于两个已被连接生物中的任意一方，则原法术即时终止。你还可以用一个动作主动解除该法术。</t>
  </si>
  <si>
    <t>• 一阵强风（风速每小时20尺）在你周围10尺半径内回旋并能随着你移动，始终以你为中心。这股风将在法术的持续时间内持续存在。
• 这股风具有如下效果：
  它会令你和其他区域内的生物耳聋。
  它会令区域内，不大于火炬的未受保护的火焰熄灭。
  它可以隔离那些能够被强风吹散的毒气，瓦斯和雾气。
  区域对于除你之外的生物是困难地形。
  若远程武器攻击进入或离开风区，其攻击检定得到劣势。</t>
  </si>
  <si>
    <t>• 你在施法距离内指定一点，并召唤出一大片粘厚的网状物。蛛网覆盖以该点为源点的20尺立方区域，并在法术持续时间内维持存在。蛛网使该区成为困难地形并造成轻度遮蔽。
• 如果蛛网没有被固定在两个固体中间（例如墙和树）或跨在一片地板、墙壁、天花板中间，则你召唤出的蛛网会自动坍塌，而导致法术在你的下一回合开始时终止。摊在平面上的蛛网深度为5尺。
• 任何在蛛网中开始其回合或在其回合中进入蛛网的生物必须进行一次敏捷豁免。豁免失败者将被束缚在网中，直至其离开蛛网或挣脱束缚。
• 被蛛网束缚的生物可以用一个动作尝试挣脱。该生物必须进行一次对抗法术豁免DC的力量检定，检定成功则不再被束缚。这些蛛网都是可燃物。每5尺立方的蛛网触及明火时将在1轮内被烧尽。而任何在燃烧区域内开始其回合的生物将因此受2d4点火焰伤害。</t>
  </si>
  <si>
    <t>• 你轻弹手腕, 让你手中的一件物品消失。这件只有你能持握的，重量不超过五磅物件会被传送到一个异次元空间，它会在法术持续时间内一直停留在那里。
• 直到法术结束为止, 你可以用你的动作将物件召唤到你空余的手中, 你也可以用一个动作将该物件返还至异次元空间处。 到法术结束时仍然存在在异次元空间的物品会出现在你的位置中，你的脚下。</t>
  </si>
  <si>
    <t>• 你创造一个抵御谎言的魔法区域，该区域以施法距离内一点为中心，覆盖该点周边15尺半径的球状区域。在法术终止前，生物在其回合内第一次进入该区域，或在该区域内开始其回合时，必须进行一次魅力豁免。豁免失败者在该区域内不能故意说谎。而你可以知晓每个受术生物的豁免是成功与否。
• 受影响的生物可以意识到该效果的存在，因此它可以主动回避回答那些通常会以谎言答复的问题。该生物在回答问题时可以闪烁其词、避重就轻，但只要不超出实话的范围就没有问题。</t>
  </si>
  <si>
    <t>• 据说是吉姆• 达克马奇发明了这个魔法，并且它最开始的名字叫“我说了啥？！”你有没有曾经在与当地领主开玩笑时，不小心提到他的儿子长得像你家农场里那只你最喜欢的猪？我们过去都经历过！不过你可以确保没人知道这件事情，来假装它从未发生过，以此来避免因为一次诚实的失言而丢掉脑袋。
• 当你施展这个法术时，你可以通过巧妙的操作修整你周围听众的记忆，从而使在你周围5尺内、每一个你所选择的生物立即忘掉在最后六秒中你所说过的每一句话。之后，他们会记住你实际上说的是作为这个法术言语成分的那些话语。</t>
  </si>
  <si>
    <t>• 在魔术大师、大冒险家吉姆• 达克马奇运用过的许多骗术中，“发光的旧硬币”是其中最为经典的。当你施法时，你将作为法术材料成分的硬币丢往法术距离内任意一点。这枚硬币将会像处于法术光亮术light影响一般闪闪发光。在硬币周围30尺内，你所能看到、并且由你选择的每一个生物必须通过一次感知豁免，否则将会在持续时间内被硬币所分心。在被分心时，生物在感知（察觉）检定和先攻检定中具有劣势。</t>
  </si>
  <si>
    <t>• 你用妖精与巨龙的魔法充满一个施法范围内边长20尺的立方体区域。在恶作剧之涌表格里掷骰以决定产生的魔法效应。法术持续时间内，你每回合开始时重骰这个表格。在你重骰之前，你可以把这个立方体区域移动最多10尺。
恶作剧之涌Mischievous Surge
d4  效应
1   空气中弥漫着苹果派的味道，区域内的生物必须成功通过一次感知豁免，否则将被你魅惑，直至你的下回合开始。
2   一束束鲜花出现在四周，区域内的生物必须成功通过一次敏捷豁免，否则鲜花将往他们脸上喷水，使他们陷入目盲，直至你的下回合开始。
3   区域内的每个生物必须成功通过一次感知豁免，否则将开始咯咯笑，直至你的下回合开始。一个正在咯咯笑的生物陷入失能，并使用他的所有移动力向一个随机方向移动。
4   一滴滴蜜糖出现并在区域内悬浮，将其内变成困难地形，直至你的下回合开始。</t>
  </si>
  <si>
    <t>• 你爆发出一股冰冷的能量并覆盖30尺锥形区域。区域内的每个生物都必须成功通过一体质豁免，否则将受到3d8点冷冻伤害并且被冰霜包裹一分钟，或直至一个生物用动作为自己或触及范围内的其他生物破冰。被冰霜包裹的生物其速度降至0。豁免成功则伤害减半，并且不会受到其他效应影响。
• 升环施法效应：当你用3环或更高的法术位施展该法术时，你使用的法术位每比2环高一环，法术的伤害便增加1d8。</t>
  </si>
  <si>
    <t>• 你从往昔的魂灵中获取知识。选择一项你没有熟练的技能。在法术的持续时间里，你拥有所选技能的熟练项。如果你再次释放该法术，该法术会提前结束。</t>
  </si>
  <si>
    <t>• 你用舞蹈般的步姿魔法地增强你的移动，在持续时间内你获得以下增益:
→你的速度增加10尺。
→你不会触发借机攻击。
→你能穿过另一个生物的空间，而且对你言不算是困难地形。如果你在另一个生物的空间里结束回合，你会被推挤到你最后所经过的未被占据空间里，并受到1d8力场伤害。</t>
  </si>
  <si>
    <t>• 选择施法距离内一点，以该点为中心的10尺半径球形区域里，你唤起死气与生机。该区域里每个由你选择的生物需进行一次体质豁免，豁免失败者受到2d6黯蚀伤害，豁免成功则伤害减半。区域里的非魔法植物都会枯萎。
此外，区域里一个你所选的生物能使用并投掷一枚未使用的生命骰。恢复投掷结果加上你的施法属性调整值点生命值。
升环施法效应：当你使用3环或更高的法术位施展该法术时，法术位每比2环高1环，法术多造成1d6伤害，选择生物能投掷的生命骰数也多1个。</t>
  </si>
  <si>
    <t>• 你指定视线范围内的一个自愿生物，并在其头部创造一个散发幽光的球体。这个球体内会充满新鲜空气直到法术结束。如果这个生物有多个头，那么球体只会出现在它的一个头周围(假设它所有的头共用一套呼吸系统，这足够让他它避免窒息)。 
• 升环施法效应：当你使用 3 环或更高的环位施放这个法术时，你使用的法术位每比 2 环高一环，就能额外创造两个新鲜空气球体。</t>
  </si>
  <si>
    <t xml:space="preserve">• 持续时间内，你能够感知到你周围30尺范围内的传送门，且不论那些传送门是否开启。
• 如果你以此侦测到了传送门，你可以再用一个动作对其进行分析。为此，你需要用施法属性进行一次DC15的属性检定。检定成功时，你将会得知这个传送门背后的目的地是哪个位面，以及他需要什么样的传送门钥匙，那之后本法术结束。检定失败时，你将不会得知该传送门的任何情报，且直到你下次施展本法术前你都无法再次对其分析。
• 本法术的侦测能力可以穿透大部分的障碍，但3尺厚的土木、1尺厚的岩石、1寸厚的常见金属、或薄薄一层铅都能阻挡本法术的侦测。 </t>
  </si>
  <si>
    <t>• 你向一处15尺锥状区域喷射卡牌，该区域内的生物必须进行一次敏捷豁免。豁免失败的生物受到2d10的力场伤害伤害并陷入目盲，直到其下一个回合结束。豁免成功则仅会受到一半伤害。
• 升环施法效应： 当你使用3环或更高法术位施放本法术时，你使用的法术位每比2环高一环，法术的伤害就增加1d10。</t>
  </si>
  <si>
    <t>• 该法术创造一个不死生物仆从。在施法距离内指定一具中型或小型类人生物遗骨或遗体，并以该法术将污秽的虚假生命力量注入其中，将之唤起为一个不死生物。如果你选择的是遗骨，则目标变为骷髅 skeleton；选择的是遗体则变为僵尸 zombie。该生物的具体游戏资料由DM掌控。
• 在你的任一回合内，你可以使用一个附赠动作并以精神命令操纵60尺内任何你用此法术唤起的生物（如果你操纵多个生物，则你的命令可以同时传达给它们全部或是其中的某几个，不过只能使用同一种命令）。你决定被操纵生物下回合的动作和移动。或者，你也可以选择下达宽泛的命令（比如守护某个房间或走廊）。没有接受到你命令的生物则只会对敌对生物作出自卫行为。一旦被下达命令，该生物会持续执行命令直到任务完成。
• 这些受操纵生物只会在24小时内服从你的命令。如果你在当前的24小时时间段终止前再施展该法术，则你对这些生物的操纵时间再延长24小时。法术的此种用法只能延长你对至多四个你使用此法术所创造生物的控制时间，而不会创造新的生物。
• 升环施法效应：使用4环或更高法术位施展该法术时，你使用的法术位每比3环高一环，就会多唤起两只不死生物，或是多延长对两只不死生物的控制。你无法用同一具骸骨或遗体唤起多个不死生物。</t>
  </si>
  <si>
    <t>• 你身上发出的治愈能量形成半径30尺的灵光。法术持续时间内灵光将以你为中心随你移动。你可以用一个附赠动作为灵光范围内的一名生物（包括你自己）恢复2d6的生命值。</t>
  </si>
  <si>
    <t>• 该法术带来活力与希望。在施法距离内指定任意数量的生物，并使其在法术持续时间内进行的感知豁免和死亡豁免具有优势。此外，其获得治疗时均以骰子最大值来决定其恢复的生命值。</t>
  </si>
  <si>
    <t>• 你触碰一名生物。该生物必须进行一次感知豁免并成功通过，否则将在法术持续时间内被诅咒。施展法术时，你从以下诅咒选项选择其一：
→选择一个属性值。受诅咒影响时，目标进行该属性的豁免检定和属性检定时具有劣势。
→受诅咒影响时，目标对你进行的攻击检定具有劣势。
→受诅咒影响时，目标必须在其每回合开始时进行一次感知豁免，豁免失败则浪费掉该回合的动作。
→受诅咒影响时，你的攻击和法术对目标额外造成1d8点黯蚀伤害。
• 法术移除诅咒可终止此法术的效应。DM也可以让你选择其他诅咒，但它们不该比上表更强大。诅咒效应最终由DM裁定。
• 升环施法效应：使用4环或更高法术位施展该法术时，法术的持续时间变为：专注，至多10分钟。使用5环或更高法术位时，变为8小时。使用7环或更高法术位时，变为24小时。使用9环法术位时，法术将持续到被解除。使用5环或更高法术位施展此法术时无需在其持续时间内维持专注。</t>
  </si>
  <si>
    <t>• 你在法术终止前的下一次武器攻击命中某生物时将爆发出强光，并对目标额外造成3d8点光耀伤害。此外，目标必须进行一次体质豁免，豁免失败则陷入目盲直至法术终止。
• 受法术目盲效应影响的生物在其每个回合结束时可以再进行一次体质豁免，豁免成功则其目盲状态终止。</t>
  </si>
  <si>
    <t>• 你在法术持续时间内每次自己回合结束时掷一次d20。如果结果大于等于11，则你从所处位面消失并出现在以太位面（如果你已经在以太位面，则法术失败且被消耗）。在你每次自己回合开始以及法术终止时，如果你身处以太位面，则你在之前消失的位置10尺内自选一处未被占据且你能看见的空间出现。如果范围内没有未被占据的空间，则你随机出现在最近的一处未被占据空间里。你可以用一个动作解除该法术。
• 身处以太位面时，你可以听见和看见原位面，但只限于60尺之内，且所有事物都是黑白画面。其他生物只有当其身处以太位面时才能对你产生影响，或者被你影响。不处于以太位面的生物无法察觉你也无法和你交流，除非其具有相应的能力。</t>
  </si>
  <si>
    <t>• 你在头顶100尺高的上空指定一个能看见的点，并在该处生成一片高10尺、半径60尺的柱状雷云区域。如果你无法看到空中雷云可能形成的位置，则法术失败（例如，当你身处一间不够高大的房间内时）。
• 施法时，指定施法距离内一处你能看见的点。再令一束闪电从云端射向该点。在该点5尺内的生物必须进行一次敏捷豁免。豁免失败者将受到3d10点闪电伤害，豁免成功则伤害减半。直至法术终止前，你都可以在自己回合内使用动作再次发射闪电，并在攻击前指定同一点或另选一点。
• 若施法时你身处室外暴风雨环境，则此法术令你得以控制空中的暴雨云而非创一朵新雷云。且法术伤害增加1d10。
• 升环施法效应：使用4环或更高法术位施展该法术时，你使用的法术位每比3环高一环，法术的伤害就增加1d10。</t>
  </si>
  <si>
    <t>• 你做一个使人平静的手势，在施法距离内，你选择最多3名你可以看见的自愿生物在法术持续时间中进入昏迷状态。如果生物受到伤害或者某人使用动作将他摇醒，对于那个目标法术会提前结束。如果目标在整个持续期间都保持昏迷，目标会得到一次短休的增益，但是在完成一次长休之前将不能再受到该法术的影响。
• 升环施法效应：当你使用4环或更高的法术位施放该法术时，使用的法术位每高一环，你就可以多指定一个额外的自愿生物作为目标。</t>
  </si>
  <si>
    <t>• 你在施法距离内某处创造一个隐形的传感器，该处可以是你熟悉的地点（你曾到访过或看见过的地方），也可以是你不熟悉的显眼处（比如一扇门后，拐角位置或树林里）。该传感器在法术持续时间内停留在该地且无法被攻击或与之互动。
• 施展该法术时，你可以选择进行观察或是聆听。你可以通过传感器以所选的感官方式感测目标空间。你也可以用一个动作在观察和聆听之间切换。
• 可以看见传感器的生物（比如生物具有增益如看破隐形 See Invisibility或真实视觉时）会看到检测点是一个拳头大小发着微光的半透球体。</t>
  </si>
  <si>
    <t>• 你召唤以野兽形态存在的精魂，并使其显现在施法范围内一处你能看见但未被占据的空间。选择以下选项之一作为显现的生物：
→一只挑战等级2或者更低的野兽
→两只挑战等级1或者更低的野兽
→四只挑战等级1/2或更低的野兽
→八只挑战等级1/4或更低的野兽
• 每只野兽同时视为精类生物，并且在生命值降至0时，或者法术终止时消失不见。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升环施法效应：使用更高法术位施展该法术时，选择上文所述召唤选项之一，并显现更多生物：5环法术位显现两倍生物，7环法术位显现三倍生物，9环法术位显现四倍生物。</t>
  </si>
  <si>
    <t>• 你向空中射出一发非魔法的弹药或者掷出一把非魔法的投掷武器，并以之为原型向前方锥状区域内射出一片同样的武器，而这些创造出的武器将在攻击完成后消失不见。前方60 尺锥状区域内的每个生物都必须进行一次敏捷豁免，豁免失败者将受到3d8点伤害，豁免成功则伤害减半。法术所造成伤害的类型与用作法术成分材料的弹药或武器相同。</t>
  </si>
  <si>
    <t>• 你试图打断一个生物正在施展的一个法术。如果该生物正在施展3环或更低环阶法术，则其法术失败且不产生任何效应。如果该生物正在施展4环或更高环阶法术，则你以施法关键属性进行一次属性检定，其检定DC等于10＋目标法术的环阶。检定成功则目标法术失败且不产生任何效应。
• 升环施法效应：使用4环或更高法术位施展该法术时，如果被打断法术的环阶不高于你所用的法术位环阶，则该目标法术直接被打断。</t>
  </si>
  <si>
    <t>• 你在施法距离内的地面或容器上创造45磅的食物和30加仑的水，其总量可以满足十五个类人生物或者五匹坐骑24小时的补给需求。食物非常清淡但营养丰富，并且如果24小时内不食用即会变坏。创造的水清洁可饮用且不会以该方式变质。</t>
  </si>
  <si>
    <t>• 神圣的能量自你身上发出并形成30尺半径的灵光，并为友方生物激励勇气。在法术持续时间内，灵光将以你为中心随你移动。灵光范围内的非敌对生物（包括你自己）的武器攻击命中时将额外造成1d4点光耀伤害。</t>
  </si>
  <si>
    <t>• 你在施法距离内指定一点，并从中释放光亮蔓延至半径60尺的球状区域。法术产生的光亮为区域内提供明亮光照并向其外提供60尺的微光光照。
• 如果你将作为法术目标的点设置于你正持握或未被穿着携带的物件，则光亮将从物件周围漫出并跟随物件移动。将该物件完全掩盖时（比如用碗或头盔盖住），也会将其漫出的光亮隔绝。
• 如果法术区域内有任何3环或更低环阶法术创造的黑暗，则
这些造暗的法术将被解除。</t>
  </si>
  <si>
    <t>• 在施法距离内指定一个生物、一个物件或一处魔法效应，并终止所有影响该目标的3环或更低环阶法术。每个影响目标的4环或更高环阶法术都需要以你的施法关键属性进行一次属性检定，其DC等于10＋目标法术的环阶，检定成功时目标法术终止。
• 升环施法效应：使用4环或更高法术位施展该法术时，你直接终止目标身上小于等于该施法环阶的法术效应。</t>
  </si>
  <si>
    <t>• 你触碰的一把非魔法武器并使其变成魔法武器。选择以下伤害类型其中之一：强酸、冷冻、火焰、闪电、雷鸣。在法术持续时间内，该武器进行攻击检定时将获得+1加值，且在命中时额外造成1d4点所选类型的伤害。
• 升环施法效应：使用5环或6环法术位施展该法术时，攻击检定的加值变为+2，额外伤害变为2d4。使用7环或更高法术位施展该法术时，攻击检定的加值变为+3，额外伤害变为3d4。</t>
  </si>
  <si>
    <t>• 你接触一个可见生物的思想并迫使它进行一次智力豁免检定。免疫恐慌的生物自动通过此豁免。若豁免失败，目标失去从敌人中辨别友伴的能力，将所有可见的生物识别为敌人直到法术结束。每次目标受到伤害时它都可以重复进行此豁免，若成功将结束它对自己的效果。
• 每当受影响的生物选择另一个生物作为目标时，它必在攻击、法术或其他可用能力的范围里，从所有可见目标中随机选择目标。如果一名敌人提供了借机攻击的机会给受术生物，生物必须进行攻击，只要它有能力这么做。</t>
  </si>
  <si>
    <t>• 选择距离内你能看见的，位于地面上的一点。以该点为中心，20尺立方的空间内，一道翻滚的泥土和岩石流喷发而出。在该区域中的每个生物必须进行一次敏捷豁免检定。若未通过豁免，该生物受到3d12点钝击伤害，成功的豁免令上述伤害减半。此外，该区域的地面成为困难地形直到被清理。该区域每5平方尺的空间，若用手来清理至少需要1分钟时间。
• 升环施法效应：当你使用4环或更高的法术位施放该法术时，使用的法术位每高一环，伤害便增加1d12。</t>
  </si>
  <si>
    <t>• 你制造一个目标最惧怕的幻象，并迫使30尺锥状区域内的所有生物进行一次感知豁免，豁免失败者将丢弃其所有持握物，并在法术持续时间内陷入恐慌。
• 被法术恐慌的生物必须在其回合内执行疾走 Dash 动作，并以此寻找最安全的路线远离施法者，直至其无路可走为止。如果该生物在施法者视野外结束其回合，则其可以再进行一次感知豁免，豁免成功则法术对该生物的效应终止。</t>
  </si>
  <si>
    <t>• 你触碰一自愿生物并将其变得如死去一样的僵直状态。
你可以用一个动作再次触碰该目标以终止该法术。在法术持续时间内，对目标进行的任何肉体检查和法术检测都显示目标已处于死亡状态。该状态下的目标陷入目盲以及失能状态，且其移动速度降低为0。目标对除了心灵伤害外的所有伤害类型具有抗性。如果目标在受术时正陷入疾病或中毒状态，或者在法术生效时陷入疾病或中毒状态，则这些状态在该法术持续时间内受抑制而无效，直至法术终止时再回复生效。</t>
  </si>
  <si>
    <t>• 明亮的闪光从你的指间飞驰向施法距离内你指定的一点，并随着一声低吼迸成一片烈焰。目标点周围半径20尺球状区域内的每个生物必须进行一次敏捷豁免。豁免失败者将受到8d6点火焰伤害，豁免成功则伤害减半。
• 迸发的火焰将绕过拐角扩散。并点燃区域内所有未被着装或携带的可燃物件。
• 升环施法效应：使用4环或更高法术位施展该法术时，你使用的法术位每比3环高一环，其伤害就增加1d6。</t>
  </si>
  <si>
    <t>• 你接触一个装有箭矢或弹药的箭袋。当一个目标被从箭袋中取出的弹药进行的远程武器攻击击中时，该目标额外受到1d6点火焰伤害。弹药上法术的魔力将在其击中或未击中目标时消失，而法术将在从箭袋中取出十二发弹药后终结。
• 升环施法效应：当你使用4环或更高的法术位施放该法术时，使用的法术位每高一环，你能以此法术影响的弹药的数量便增加2发。</t>
  </si>
  <si>
    <t>• 你触碰一个自愿生物，并使该目标在法术持续时间内获得60尺的飞行速度。法术终止时，如果目标仍在空中则随即坠落。
• 升环施法效应：使用4环或更高法术位施展该法术时，你使用的法术位每比3环高一环，就可以额外再指定一个生物作为法术目标。</t>
  </si>
  <si>
    <t>• 在法术持续时间内，你将触碰到的一个自愿生物连同其穿着携带物一起转化为一团云雾。如果生物的生命值降至0则法术终止。非实体的生物不受该效应影响。
• 在该形态下，目标唯一的移动方式即是10尺的飞行速度。该目标可以进入并占据一个已有生物占据的空间。其拥有非魔法伤害的抗性，且进行力量、敏捷和体质豁免时具有优势。该目标可以穿过小洞、狭隙、甚至裂缝，但他会将液态物质视为固体表面。目标即使处于震慑或者失能状态时，也不会坠落并且保持在空中悬浮。
• 云雾形态的目标不能讲话或操作物件，其随身携带或持握的物件不会掉落，也不能被使用或与之互动。另外，目标也不能攻击或施法。</t>
  </si>
  <si>
    <t>• 施展该法术时，你在某个表面（诸如桌面、地板、墙等）或某个能被关闭以隐藏符纹的物件里（诸如书本、卷轴、宝箱等）刻画一个伤害其他生物的符纹。如果你指定某个表面，则此符纹可以覆盖周边不超过10尺直径的区域。如果你指定某个物件，则该物件必须待在其所在位置；如果该物件从被施法位置被移开超过10尺，则其符纹被破坏且法术不被触发即刻终止。
• 结界符纹近乎隐形，其需要以法术的豁免DC 进行一次智力（调查）检定才能被发现。
• 你在施法时设定结界符纹的触发条件。刻画于表面的符纹其最典型的触发条件包括：触碰或站立在符纹上；拿掉覆盖在符纹上的物件；进入符纹一定施法距离；操作符纹所在的物件等。刻画在物件内的符纹其最典型的触发条件包括：打开物件；靠近物件一定的距离；看到或阅读该符纹等。符纹一旦被触发，则该法术终止。
• 你可以进一步细化触发条件，比如设定法术触发时符合特定的条件，或设定其触发者必须具备特定身体特征（身高体重等），特定生物种类（例如设定为只影响异怪或卓尔）或特定阵营。你还可以将特定条件者排除在符纹触发者之外，诸如某说出特定口令的人。
• 刻画符纹时，你可以从爆炸符文和法术符纹两者中选择其一。
• 爆炸符文 Explosive Runes：符文被触发时将在半径20尺球状区域内将爆发魔法能量，并绕过角落扩散。区域内的每个生物必须进行一次敏捷豁免。豁免失败者将受到5d8的强酸，冷冻，火焰，闪电，或雷鸣伤害（你在制造符纹时指定），豁免成功则伤害减半。
• 法术符纹 Sprll Glyph：你可以施展一个准备好的3环或更低环阶法术，并将其储备在所创造的符纹中。所储备法术必须以一个生物或一个区域为目标，而其以该方式施展时并不会立即生效。符文被触发时将随即施展所储备的法术。如果法术指向一个目标，则以触发符纹的生物为目标；如果法术影响一个区域，则该区域以此生物为中心；如果法术召唤敌对生物或创造伤害性质的物件或陷井，则这些造物将显现在可能靠近触发者的地方并攻击它。如果法术需要专注，则其效应将在其最大持续时间内维持。
• 升环施法效应：使用4环或更高法术位施展该法术时，你使用的法术位每比3环高一环，一个爆炸符文的伤害就增加1d8。如果你创造一个法术符纹，则其储备法术的环阶可以与你施放守卫刻文时使用的法术位相同。</t>
  </si>
  <si>
    <t>• 指定施法距离内一个你能看见的自愿生物。直至法术终止前，你使目标速度翻倍；其AC获得 +2 加值；其进行敏捷豁免时具有优势；其每个回合都可作出一个额外的动作，但该动作只能发动攻击（只限一次武器攻击），或者疾行、撤离、躲藏和使用物件。
• 法术终止时，目标将泛起一阵倦意使其不能移动也无法执行动作，并持续至其下一回合结束。</t>
  </si>
  <si>
    <t>• 你打开一个通道，并连接到群星间黑暗处某个遍布未知恐怖之物的领域。以施法距离内一点为中心，一个半径20尺，漆黑而寒冷的球状区域显现并持续至该法术终止。这个虚无区域外30尺范围内能听到充斥在空气中的不谐耳语和啜嚼噪音。任何光照，魔法或其他手段都无法照亮这个区域，而完全进入该区域内的生物将陷入目盲状态。
• 虚无扭曲了空间的结构，使该区域内成为困难地形。任何在区域内开始其回合的生物将受到2d6点冷冻伤害。任何在区域内结束其回合的生物必须进行一次敏捷豁免，豁免失败者将因异界软体触手的触碰而受到2d6点强酸伤害。</t>
  </si>
  <si>
    <t>• 你在施法距离内一处边长30尺的立方区域内创造出一个在空中舞动旋转的彩色图纹。图纹在出现片刻后消失，然后迫使区域内每个看到它的生物进行一次感知豁免，豁免失败者将在法术持续时间内被魅惑。被该法术魅惑的生物陷入失能状态，且速度降为0。
• 如果受术生物受到任何伤害，或者他人将其从恍惚中摇醒，则该法术在其身上的效应终止。</t>
  </si>
  <si>
    <t>• 在法术持续时间内，你或一个施法距离内的可见生物获得对心灵伤害的抗性，同时在智力、感知和魅力豁免检定上具有优势。
• 升环施法效应：使用4环或更高法术位施展该法术时，你使用的法术位每比3环高一环，就可以多选择一个生物作为目标。而各目标之间距离不能超过30尺。</t>
  </si>
  <si>
    <t>• 一个半径10尺的半球形力场出现在你周围和上方，并在法术持续时间内保持固定。当你离开该区域时法术将随之终止。
• 半球可以容纳你和九个中型或更小的生物。如果区域内容纳了一个体型更大的生物或者容纳了多于九个生物，则法术失效。在施展此法术时即处于半球内的生物和物件可以自由进出半球。而所有其他生物和物件都将被阻挡而无法进出。法术和其他魔法效应既无法延伸至穿过半球，也无法直接穿过半球施放。半球内的空气干爽舒适，而无论外侧气候如何。
• 你可以在法术终止前使半球内的光照变为微光或黑暗。半球从外侧看是不透明的，并且呈现出由你选定的颜色，但从内侧看它则是透明的。</t>
  </si>
  <si>
    <t>• 你牺牲自己的部分健康来修复其他生物的伤口。你受到4d8无视伤害抗性与伤害免疫点黯蚀伤害，同时施法距离内一个由你选择的可见生物恢复生命值，数值等于你承受点黯蚀伤害的两倍。
• 升环施法效应：当你使用4环或更高的法术位施放该法术时，使用的法术位每高一环，黯蚀伤害就增加1d8。</t>
  </si>
  <si>
    <t>• 你在法术持续时间内下一次进行的远程武器攻击时，该武器的弹药或该武器本身（如果该武器是投掷武器）变为一束闪电。以正常方式进行攻击检定，若该攻击命中则目标受到4d8点闪电伤害，若未命中则伤害减半。即以该闪电伤害代替武器正常伤害。
• 无论你的攻击是否命中，目标周围10尺范围内的每个生物都必须进行一次敏捷豁免，豁免失败则受到2d8点闪电伤害，豁免成功则伤害减半。
• 在此之后，该弹药或武器变回其正常形态。
• 升环施法效应：使用4环或更高法术位施展该法术时，你使用的法术位每比3环高一环，上述两种闪电伤害就各增加1d8。</t>
  </si>
  <si>
    <t>• 一束100尺长，5尺宽的的线状闪电从你的位置向你指定的任意方向爆发迸出。在线状区域内的每个生物必须进行一次敏捷豁免，豁免失败者将受到8d6点闪电伤害，豁免成功则伤害减半。
• 闪电会将区域内未被着装或携带的可燃物件点燃。
• 升环施法效应：使用4环或更高法术位施展该法术时，你使用的法术位每比3环高一环，伤害就增加1d6。</t>
  </si>
  <si>
    <t>• 指定施法距离内地面上你能看见的一点，并在该处创造了一个10尺半径、20尺高的柱状魔法能量。而承载能量柱的地面或其他平面上则会显现出闪光的符文。
• 指定以下生物类型中的一种或多种：天界生物、元素生物、精类生物、邪魔、不死生物。法阵将会对被指定类型的生物产生以下效应：
→该类生物不能以非魔法手段主动进入柱状区域内。如果该类生物试图使用传送或位面旅行进入此区域，则它必须先进行一次魅力豁免以判定其是否成功。
→该类生物对柱状区域内的生物进行攻击检定时具有劣势。
→柱状区域内的目标不受该类生物所魅惑，恐慌或附身。
• 施展该法术时，你可以选择让魔法作用于相反的方向来阻止特定种类的生物离开柱状区域内，以保护区域外的目标。
• 升环施法效应：使用4环或更高法术位施展该法术时，你使用的法术位每比3环高一环，法术持续时间就增加1小时。</t>
  </si>
  <si>
    <t>• 你创造一个影像，其形象来自一个大小不超过边长20尺立方体的物件，生物或其他的可视现象。影像出现在施法距离内你能看见的一处位置并在法术持续时间内持续存在。它看起来完全是真实的，并且还具有相应的声音、气味和温度。你不能创造出足以造成伤害的酷热或严寒，也不能创造出音量大到足以造成雷鸣伤害或者震聋生物的声响，同样不能创造出会使生物恶心的气味（近似战蜥人的恶臭那种）。
• 你在此幻术的施法距离内时，可以用你的动作将影像移动到施法距离内的另一个位置。影像改变位置时，你可以改变影像的外表来使它移动得更自然。例如，如果你创造了一个生物的影像并移动它，则你可以改变影像，使它看起来就像是在走路。或者你也可以让影像在不同的时间发出不同的声音，甚至可以让它参与一场对话。
• 由于影像无法被碰到，任何与该影像进行的物理互动都会暴露其幻象的本质。一个生物用其动作调查影像时，它可以进行一次对抗你的法术豁免DC 的智力（调查）检定，以判定是否看穿幻象。辨出幻象的生物可以看破该影像，而影像的其他感官效应在该生物看来会变得微弱而模糊。
• 升环施法效应：使用6环或更高法术位施展该法术时，法术会持续至解除且不需要你保持专注。</t>
  </si>
  <si>
    <t>• 你高声诵出复原的真言，并指定施法距离内至多六个你能看见的生物，使其各自恢复一定的生命值，其数值等于1d4＋你的施法关键属性调整值。该法术对不死生物和构装生物无效。
• 升环施法效应：使用4环或更高法术位施展该法术时，你使用的法术位每比3环高一环，其治疗量就增加1d4。</t>
  </si>
  <si>
    <t>• 你进入一个足以完全容纳你身体的石制物件或石材表面内，使你自己和你携带的所有装备在法术持续时间内与石头融为一体。你可以在移动时从一个你能接触到的位置进入石中。此后，任何非魔法的感官都无法看到或侦测到你的存在。
• 与石头融合后，你看不到外界发生了什么，并且你为了聆听外界声音而进行的任何感知（察觉）检定都具有劣势。与石头融合时，你仍能感觉到时间的流逝，也可以对自己施展法术。此时你无法移动，不过可以从进入石头的地方以移动的方式离开石内并终止该法术。
• 石头所受的轻微损伤不会对你造成伤害，不过石头部分损毁或者形状改变时（改变到不再适合容纳你的程度），会将你从石中排挤出并对你造成6d6点钝击伤害。石头完全损毁（或材质改变）时，也会将你从石中排挤出并对你造成50点钝击伤害。被排挤出石头时，你将被摔至距离第一次进入石头处最近一处未被占据的空间位置，并陷入倒地状态。</t>
  </si>
  <si>
    <t>• 你在你所在的空间内制造出六颗微型流星。它们会悬浮在空气中，在法术的持续时间内以你为中心绕转。当你释放此法术——及在你之后的每个回合中通过使用一个附赠动作——你能释放一到两颗流星，让它们袭击你周围120尺范围内的一点。一旦流星到达目的地，或是撞击到了固体表面，它会发生爆炸。在流星爆炸点周围5尺的生物均必须进行一次敏捷豁免检定。检定失败者受到2d6点火焰伤害，检定成功则只受到上述伤害的一半。
• 升环施法效应：当你使用4环或更高的法术位施放该法术时，使用的法术位每高一环，创造出的流星数量就增加两颗。</t>
  </si>
  <si>
    <t>• 在法术持续时间内，你触碰一个目标并使其躲开来自预言魔法的侦测。目标可以是一个自愿生物，一处地点或一个在各个方向上不超过10尺的物件。目标在持续时间内不能成为预言魔法的目标，也不能通过魔法探知传感器被感测到。</t>
  </si>
  <si>
    <t>• 你指定施法距离内一处未被占据空间，并从中显现一只似幻似真的马形生物。该生物的外形由你决定，但它必须装备着鞍座和辔具。而这些随法术创造的装备一旦离开战驹10尺即化作一阵烟消失不见。
• 在法术持续时间内，你或者一个你指定的生物可以骑乘此战驹。战驹使用骑乘用马的属性数据，不过其具有速度100尺，其每小时路程普通时可达10里，以快速步调行进时可达13里。法术终止时，战驹会慢慢消失，让骑手有1分钟的时间下马结束骑乘。你用一个动作解散战驹，或是当战驹受到伤害时，法术也将随即终止。</t>
  </si>
  <si>
    <t>• 该法术将活力引导给特定区域中的植物。该法术有两种用法，其一可产生即时增益，另一种则产生长期的增益。
• 用1动作施展该法术时，你指定施法距离内一点，该点周边半径100尺内的普通植物将变的粗壮和茂盛。一个穿过该区域的生物每移动1尺必须花费4尺的移动力。
• 你可以在该法术范围内空出一块或多块任意大小的区域，使其排除在法术效应影响之外。
• 用8小时施展该法术时，你可以使这片土地肥沃。你指定施法距离内一点，该点周边半径半里的的植物将在1年内变的茂盛。这些植物收获时将产出两倍于正常产量的作物。</t>
  </si>
  <si>
    <t>• 受你触碰的一个自愿生物在法术持续时间内对下列你指定的一种伤害类型具有抗性：强酸、冷冻、火焰、闪电、雷鸣。</t>
  </si>
  <si>
    <t>• 你创造出一股强烈的冲压，将其释放向30尺锥形范围，并决定该冲压会推开还是拉近范围内的物品与生物。在锥形范围内的每个生物必须要通过一个体质豁免，若豁免失败则会受到6d6点力场伤害，豁免成功则受到一半伤害。豁免失败的生物会向你被拉进15尺，或从你处被推开15尺，取决于你施展法术时的选择。
• 另外，完全处于锥形范围内的未被着装或携带的物件也会被向你被拉进或者被推开15尺。
• 升环施法效应：当你使用4环或更高环的法术位施展该法术时，每比3环高出一环的法术位就能使法术的伤害增加1d6，并使推拉的距离增加5尺。</t>
  </si>
  <si>
    <t>• 你的触碰立即为一个生物或一个物件解除其身上的所有诅咒。如果目标物体是一件被诅咒的魔法物品则其上的诅咒不会因此解除，不过该法术可以打破诅咒物品与其所有者之间的同调，使其所有者可以将其卸下或丢弃。</t>
  </si>
  <si>
    <t>• 你触碰一个在前一分钟内刚刚死去的生物，使该生物以1点生命值重生。该法术不能复活老死的生物，也不能恢复失去的身体部位。</t>
  </si>
  <si>
    <t>• 你向你所熟识的一个生物发送一小段二十五个单词以内的信息。该生物将在心中听到你的信息，他可以认出你是发讯人（如果他认识你），还可以用同样的方式立即回复一讯息。对方的智力值必须至少为1才能理解你的信息。
• 你的传讯可以跨越任意长的距离，甚至能跨越位面。但如果目标和你不在同一个存在位面，则短讯术有5%的概率无法到达。</t>
  </si>
  <si>
    <t>• 你指定施法距离内一点,并使以该点为中心，半径40尺、高20尺的区域内降下寒冷刺骨的冻雨和冰雹直至法术终止。该区域将造成重度遮蔽，且该区域内的一切开放的明火都将被浇熄。
• 该区域的地面上覆着一层光滑的冰，使地面变成困难地形。生物在一个回合内第一次进入该区域或在区域内开始其回合时，必须进行一次敏捷豁免，豁免失败则失足倒地。
• 如果法术区域内有一个生物正进行专注，则该生物必须进行一次对抗你法术豁免DC的体质豁免，豁免失败则其专注被打断。</t>
  </si>
  <si>
    <t>• 你在施法距离内一处40尺立方区域内指定至多六个生物并扭曲其周围的时间流。每个目标都要进行一次感知豁免，豁免失败则受到该法术影响直至法术终止。
• 受术生物的速度减半，而其AC和敏捷豁免都具有－2减值，且不能执行反应。该生物在其回合内可以执行一个动作或一个附赠动作，但不能在一回合内同时执行以上两者。不论该生物拥有何种能力或魔法物品，它在其回合内只能发动一次近战或远程攻击。
• 如果该生物尝试施展一个施法时间为1动作的法术，则需掷一次d20。如果结果是11或更高，则该生物的法术直至其下一回合才会生效，且该生物必须在此时再使用一个动作来完成法术。如果它做不到则它的法术就此浪费掉。
• 受术生物在其回合结束时要可以再进行一次感知豁免，豁免成功则其身上该法术的效应终止。</t>
  </si>
  <si>
    <t>• 你给施法距离内一具尸体赋予少许生命与智力，让其可回答你的问题。这具尸体必须还有一张嘴，且不能是不死生物。若目标尸体在最近十日内曾被作为该法术的目标，则本次施法失败。
• 你可以在法术终止前向尸体提出最多五个问题。尸体的知识仅限于其生前所知，包括它所讲的语言。回答通常是简短，含糊或重复的语句，而且如果你对尸体抱有敌意或者尸体认为你是其敌人，它也不必一定要给你正确的答复。该法术并不能让该生物的灵魂返回其身体中，只是活化了其精神。因此，该尸体不能认知新的信息，不能理解它死后发生的任何事情，也不能对未来的事件作出猜测。</t>
  </si>
  <si>
    <t>• 你给周围30尺内的植物赋予有限的知觉与活力，使其能够与你沟通和按你的命令行事。你可以向植物询问最近一日里该区域发生的事，由此了解曾路过这里的生物、天气和其他状况。
• 你可以让区域内因植物生长形成的困难地形（如灌木丛）在法术持续时间内变为普通地形。你也可以将有植物生长的普通地形变成困难地形（如让藤蔓树枝阻碍身后的追兵）。
• 根据DM的判断，植物也可能会为你做其他的事情。虽然该法术并不能让植物拔根而起或自由移动，但它们可以自由活动自己的树枝、藤蔓和茎秆。
• 如果法术区域内有一个植物生物，你可以如同你们有共同语言一般与其交流，但你并没有任何能影响它立场的魔力。
• 该法术能让纠缠术 Entangle创造出来的植物放开一个被束缚的生物。</t>
  </si>
  <si>
    <t>• 你唤来灵体作你的守卫，并使其在法术持续时间内在你周围15尺内四处飞舞。如果你属于善良或中立阵营，则它们飘渺的身形看起来像是天使或精类生物（由你选择）。如果你属于邪恶阵营，则它们将形如邪魔。
• 施展该法术时，你可以选择视野内任意数量的生物让其不受该法术影响。受术生物在该区域内其速度减半，且当它在一个回合内第一次进入该区域或在区域内开始其回合时，必须进行一次感知豁免。豁免失败则受到3d8点光耀伤害（如果你属于善良或中立）或3d8点黯蚀伤害（如果你属于邪恶），豁免成功则伤害减半。
• 升环施法效应：使用4环或更高法术位施展该法术时，你使用的法术位每比3环高一环，法术的伤害就增加1d8。</t>
  </si>
  <si>
    <t>• 你唤来亡者的魂灵，令它们在法术持续时间内环绕于你的身边。这些魂灵无形且不可伤害。
• 直到法术终止前，你所有命中你10尺内生物的攻击造成1d8点额外伤害。伤害类型为光耀、黯蚀或冷冻（由你在施展法术的时候选择）。任何受到此伤害的生物无法恢复生命值，直到你下回合开始。
• 此外，任何你身边10尺内且你可见的生物回合开始时，你可以使其速度降低10尺，直到你下回合开始。
• 升环施法效应：使用4环或更高法术位施展该法术时，你使用的法术位每比3环高两环，其伤害就增加1d8。</t>
  </si>
  <si>
    <t>• 你以施法距离内一点为中心创造出一团半径20尺的黄色恶心气体云团。云团会绕过拐角扩散，并能造成重度遮蔽。在法术持续时间结束前云团都会一直在空气中徘徊。
• 如果一个生物在其回合开始时完全位于云团内，则它必须进行一次对抗毒素的体质豁免。豁免失败则该生物必须因呕吐和蹒跚浪费掉其本回合的动作。如果生物不需要呼吸或对毒素免疫，则其检定直接判定为成功。
• 云团被和风（风速至少每小时10里）吹袭4轮后消散。而强风（风速至少每小时20里）只需1轮就能将其吹散。</t>
  </si>
  <si>
    <t>• 你唤来一个精类灵魄。其在施法距离内你可见的一个未占据位置化为实体。这一实体使用下面的精类灵魄Fey Spirit的数据。当你施展法术时，从诡诈Tricksy，愤怒Fuming或欢乐Mirthful中选择一种情绪。此生物的外形为一个受你所选情绪所影响的精类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精类灵魄Fey Spirit
小型精类
AC：12+法术环阶 (天生护甲)
HP：30+10每比3环高的法术环阶
速度：40尺
力量13（+1）  敏捷16（+3）  体质14（+2）
智力14（+2)   感知11（+0）  魅力16（+3）
状态免疫：魅惑
感官：黑暗视觉60尺，被动察觉10
语言：木族语，懂你说的语言
挑战等级：—
熟练加值：与你相等
动作
多重攻击Multiattack。精类生物发动等同于法术环阶一半的次数的攻击（向下取整）。
短剑Shortsword。近战武器攻击：命中+你的法术攻击调整值，触及5尺，单一目标。伤害：1d6+3+法术环阶点穿刺伤害+1d6点力场伤害。
附赠动作
精类步Fey Step。精类生物魔法性地传送至一处30尺内其可见且未被占据的空间。并根据你施展法术时的选择，适用以下情绪效应之一。
愤怒Fuming。在使用精类步后，精类生物立即在它回合结束前的下一个攻击检定具有优势。
诡诈Tricksy。在使用精类步后，精类生物可以立即令魔法黑暗充斥于它5尺内的一个5尺立方区域，魔法黑暗持续直到精类生物的下回合结束。
欢乐Mirthful。在使用妖精步后，精类生物可以立即选择它10尺内可见的一个生物，强迫其进行一次感知豁免对抗你的法术豁免DC，豁免失败则其将被你及精类生物魅惑，持续1分钟或目标受到任何伤害。</t>
  </si>
  <si>
    <t>• 你吐出污秽的词语，从无底深渊的无尽混沌中召唤来恶魔。遵从下表Roll点来决定什么生物出现。
    D6    被召唤的恶魔
    1-2   2个挑战等级为1或更低的恶魔
    3-4   4个挑战等级为1/2或更低的恶魔
    5-6   8个挑战等级为1/4或更低的恶魔
• DM选择恶魔的种类，例如原魔Manes或者怯魔dretches，然后你选择施法距离内可见的未被占据空间让它们出现。被召唤的恶魔在生命值降低为0或法术结束时消失。
• 恶魔对包括你在内的所有生物抱有敌意。它们拥有自己的回合，将它们整体视作一组来投掷先攻。恶魔会花费它的回合用于追逐和攻击最近的非恶魔生物，尽其所能。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升环施法效应：当你使用6环或7环的法术位施放该法术时，被召唤的恶魔数量变为两倍。当你使用8环或9环的法术位施放该法术时，被召唤的恶魔数量变为三倍。</t>
  </si>
  <si>
    <t>• 你唤来一个暗影灵魄。其在施法距离内你可见的一个未占据位置化为实体。这一实体使用下面的暗影灵魄Shadow Spirit的数据。当你施展法术时，当你施展法术时，从暴怒Fury，绝望Despair或恐惧Fear中选择一种情感。此生物的外形为一个受你所选情感所影响的畸形二足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暗影灵魄Shadow Spirit
中型怪兽
AC：11+法术环阶 (天生护甲)
HP：35+15每比3环高的法术环阶
速度：40尺
力量13（+1）  敏捷16（+3）  体质15（+2）
智力4（-3)    感知10（+0）  魅力16（+3）
伤害抗性：黯蚀
状态免疫：恐慌
感官：黑暗视觉120尺，被动察觉10
语言：懂你说的语言
挑战等级：—
熟练加值：与你相等
惧怖狂怒Terror Frenzy（仅限暴怒）。灵魄对恐慌生物发动的攻击检定具有优势。
哀伤之重Weight of Sorrow（仅限于绝望）。除你之外的所有生物在灵魄5尺内开始回合时，其速度降低20尺直到该生物的下回合开始。
动作
多重攻击Multiattack。灵魄发动等同于法术环阶一半的次数的攻击（向下取整）。
冻寒撕裂Chilling Rend。近战武器攻击：命中+你的法术攻击调整值，触及5尺，单一目标。伤害：1d12+3+法术环阶点冷冻伤害。
恐惧尖叫Dreadful Scream（1/日）。灵魄发出尖叫。处于它10尺内的每个生物必须进行一次感知豁免对抗你的法术豁免DC，否则对灵魄恐慌1分钟。被恐慌生物可以在其自己回合结束时再进行一次该豁免，豁免成功则终止该生物身上的恐慌效应。
附赠动作
暗影潜藏Shadow Stealth（仅限恐惧）。灵魄处于微光光照或黑暗环境时，可以一个附赠动作来执行躲藏动作。</t>
  </si>
  <si>
    <t>• 你唤来一个不死生物灵魄。其在施法距离内你可见的一个未占据位置化为实体。这一实体使用下面的不死灵魄Undead Spirit的数据。当你施展法术时，从虚灵Ghostly，腐尸Putrid或骷髅Skeletal中为此生物选择一个外形。此生物的外形为你所选形态的不死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不死灵魄Undead Spirit
中型不死生物
AC：11+法术环阶 (天生护甲)
HP：30（仅限虚灵或腐尸）或20（仅限骷髅）+10每比3环高的法术环阶
速度：40尺，飞行40尺（悬浮）（仅限虚灵）
力量12（+1）  敏捷16（+3）  体质15（+2）
智力4（-3)    感知10（+0）  魅力9（-1）
伤害免疫：黯蚀，毒素
状态免疫：力竭，恐慌，麻痹，中毒
感官：黑暗视觉60尺，被动察觉10
语言：懂你说的语言
挑战等级：—
熟练加值：与你相等
腐灭灵光Festering Aura（仅限腐尸）。除你之外的所有生物，在不死生物5尺内开始其回合时必须进行一次体质豁免对抗你的法术豁免DC，豁免失败则在其下个回合开始前中毒。
虚体移动Incorporeal Movement（仅限于虚灵）。灵魄可以虚体化并如同穿过困难地形一样穿过其他生物和物件。如果它在自己的回合结束时仍处在物件内部，则被挪到距离最近的未被占据的位置，且每虚体移动5尺便受到1d10点力场伤害。
动作
多重攻击Multiattack。灵魄发动等同于法术环阶一半的次数的攻击（向下取整）。
致死之触Deathly Touch（仅限于虚灵）。近战武器攻击：命中+你的法术攻击调整值，触及5尺，单一生物。伤害：1d8+3+法术环阶点黯蚀伤害，且目标生物必须进行一次感知豁免对抗你的法术豁免DC，豁免失败则对不死生物恐慌直到目标下回合结束。
坟冢射线Grave Bolt（仅限于骷髅）。远程法术攻击：命中+你的法术攻击调整值，射程150尺，单一目标。伤害：2d4+3+法术环阶点黯蚀伤害。
腐烂爪击Rotting Claw（仅限于腐尸）。近战武器攻击：命中+你的法术攻击调整值，触及5尺，单一目标。伤害：1d6+3+法术环阶点挥砍伤害。如果目标处于中毒状态，其必须进行一次体质豁免对抗你的法术豁免DC，否则麻痹直到目标下回合结束。</t>
  </si>
  <si>
    <t>• 你传送到施法距离内一处未被占据的可见空间。在你消失的瞬间，雷鸣般的爆发声响起。在你离开的空间周围10尺内的每个生物必须进行体质豁免检定，失败将受到3d10雷鸣伤害，成功则只承受一半。该法术会发出方圆300尺内都能听见的雷霆巨响。
• 你可以带走物体只要它们没有超过你能承载的重量。你也可以传送一个与你体型相仿或是比你更小的自愿生物，而它所携带的装备也不能超过他的负重。这个生物必须在你施展法术时处于5尺内，并且在你的目的地周围5尺必须要有一个未被占据的空间以让它到达；否则这个生物将被留下。
• 升环施法效应：当你使用4环或更高的法术位施放该法术时，使用的法术位每高一环，伤害就会增加1d10。</t>
  </si>
  <si>
    <t>• 你召唤出浪潮拍打距离之内的区域。区域的长度至多为30尺，宽度至多为10尺，高度至多为10尺。在区域内的每个生物均必须进行一次敏捷豁免检定。若检定失败，该生物受到4d8点钝击伤害并应击倒地。检定成功则只受到上述伤害的一半，且不会摔倒。之后，水会沿着地表向四周流去，熄灭区域内和周围30尺内所有未受保护的火焰，而后消失不见。</t>
  </si>
  <si>
    <t>• 你接触一个微型的非魔法物体，它没有附在另一个物体或表面之上，也没有被其他生物所携带。目标被活化并长出细小的胳膊和腿脚，并成为处于你控制之下的生物，直到法术结束或者降低至0HP。参考以下版块得知它的数据。
• 以一个附赠动作，你可以对这个生物发出精神命令，只要它在你周围120尺范围内（如果你通过该法术控制了多个生物，你可以同时命令它们，对其中的每一个发布同样的指令）。你决定这个生物在下一回合自愿采取的动作和自愿进行的移动，或者你也可以发布一个简单的、综合的命令，例如去拿起钥匙、站着放哨、堆叠书本。如果你不发布命令，仆役除了保护自己对抗敌对生物以外什么也不会做。一旦得到一个命令，仆役会继续服从命令行动直到工作完成。
• 当这个生物的生命值降低至0点，它恢复至原来的形态，并且任何剩余的伤害会由那个形态承担。
• 升环施法效应：当你使用4环或更高的法术位施放该法术时，使用的法术位每高一环，你可以额外活化两个物体。
    迷你仆役 Tiny Servant
    微型构装生物，无阵营
    AC 15（天生护甲）
    HP 10（4d4）
    速度30尺，攀爬30尺
    力量 4（-3）  敏捷16（+3）  体质10（+0）
    智力 2（-4）  感知10（+0）  魅力 1（-5）
    伤害免疫：毒素，心灵
    状态免疫：目盲，魅惑，耳聋，力竭，恐慌，麻痹，石化，中毒
    感官：盲视60尺（对超过半径的区域目盲），被动察觉10
    语言：-
    动作：
    挥击，近战武器攻击：命中+5，触及5尺，单一目标。伤害：5（1d4+3）钝击伤害</t>
  </si>
  <si>
    <t>• 该法术赋予你所触碰生物听懂任何语言的能力。此外，当目标生物说话时，任何能听见其话语且掌握至少一门语言的生物都能听懂它的话。</t>
  </si>
  <si>
    <t>• 你的手上环绕着阴影，只要触碰一下就可以吸取他人的生命力来为自己疗伤。对你触及范围内的一个生物进行一次近战法术攻击。若命中，则目标受到3d6点黯蚀伤害，而你则回复数值等于所造成黯蚀伤害一半的生命值。你可以在该法术终止前的每个回合内以一个动作完成一次这样的攻击。
• 升环施法效应：使用4环或更高法术位施展该法术时，你使用的法术位每比3环高一环，法术的伤害就增加1d6。</t>
  </si>
  <si>
    <t>• 你在距离内你能看到的地表的一点上召唤出由舞动的沙子构成的墙体。你可以制造出的墙体长度至多为30尺，高度至多为10尺，厚度至多为10尺。其将在法术终结时消失。它能阻挡视线，但无法阻挡移动。处于墙体所在的空间内的生物目盲，在其中移动时，每移动1尺需要消耗3尺的移动力。</t>
  </si>
  <si>
    <t>• 你在距离内你能看到的地表的一点上召唤出由水构成的墙体。你可以制造出的墙体长度至多为30尺，高度至多为10尺，厚度至多为1尺。或者你也可以制造出直径至多为20尺的环形墙体，高度至多为20尺，厚度至多为1尺。该墙体将在法术终结时消失。该墙体所在的区域是困难地形。
• 任何进入墙体所在空间的远程武器攻击在攻击检定中具有劣势，而穿过墙体到达其目标的火焰效果所造成点火焰伤害将减半。造成冷冻伤害的法术若穿过墙体会令穿过的部分被冻结（至少5平方尺的空间被冻结）。每个被冻结的5平方尺的方格具有AC5和15点生命值。令一块被冻结的区域生命值降为0将摧毁它。当一个部分被摧毁时，墙体的水不会填补其位置。</t>
  </si>
  <si>
    <t>• 在法术终止前，该法术让施法距离内你能看见的至多十个自愿生物获得在水下呼吸的能力。此外，受术者依然保有正常的呼吸能力。</t>
  </si>
  <si>
    <t>• 使受术者行走于任何液体表面（例如流水、酸液、泥浆、雪地、流沙、熔岩）都如履平地。（但走在熔岩上的生物仍会因高热而受伤）。你可以将此能力赋予施法距离内你能看见的至多十个自愿生物，并使其在法术持续时间内拥有该能力。
• 如果你选择一个浸没在水中的生物作为该法术的目标，则受术者将会以每轮60尺的速度上升，直至浮上液面。</t>
  </si>
  <si>
    <t>• 指定施法距离内地面上一点并从中升起了一道强风形成的墙壁。你可以造出长度至多50尺、高度至多15尺、厚度至多1尺的风墙。你可以自由塑造该墙的形状，不过它必须沿着地面形成一条连续的轨道。风墙持续存在至法术终止。
• 风墙出现时，所有位于风墙区域内的生物必须进行一次力量豁免。豁免失败者，将受到3d8点钝击伤害，豁免成功则伤害减半。
• 强风可以阻隔浓雾、烟尘和其他气体。体型为小型或更小的飞行生物或物件无法飞过风墙。重量轻的未被携带物质带进风墙中时将被向上吹飞。对墙后目标射出的箭、矢和其他普通飞行物会被朝上吹走而直接判为未命中（巨人或攻城器械投出的巨石和类似的飞行物不受影响）。处于气化形态的生物无法穿过风墙。</t>
  </si>
  <si>
    <t>• 如果你想要确保某件事情完成，你不能依赖于含糊不清的承诺、宣誓或雇佣合同。当你施展此法术时，选择一个能看见、能听见、并且能理解你的，在施法距离内的类人生物。这个生物必须通过一次感知豁免，否则将会在持续期间内被你魅惑。当生物因为这种方式被魅惑时，它将承诺尽其所能地以友好的方式履行你所要求的任何服务或者是活动。
• 在这个生物之前的任务完成时，或者你决定中止它的当前任务时，你可以为它布置一个新任务。如果这项活动或任务可能伤害这个生物，或者与这个生物的正常活动和欲望相违背时，生物可以进行另一次感知豁免来尝试中止这个效果。如果你或者你的同伴正在与这个生物交战，他对此豁免具有优势。如果你要求的活动在结果上会确实地导致这个生物死亡，法术将会结束。
• 当法术结束时，这个生物知道他曾经被你所魅惑。
升环施法效应：当你使用4环或更高的法术位施放该法术时，使用的法术位每比3环高一环，你就可以多指定一个额外的目标。</t>
  </si>
  <si>
    <t>• 当你施展这个法术时，你将展现作为法术材料成分的宝石，并且选择施法距离内能看见你的、任意数量的生物。每一个目标都必须成功通过一次感知豁免，否则将会被你魅惑直到法术结束，或者直到你或你的同伴做了任何有害于他的事情。当生物被这种方式魅惑时，它们除了以安全的方式花费移动力来接近你以外，不能做任何其他的事情。当一个受影响的生物到达你的5尺之内，它将不能移动，只是贪婪地注视着你所展现的宝石。
• 受影响的目标每个回合结束时，可以再进行一次感知豁免检定。如果它成功，对于那个目标的效果将结束。</t>
  </si>
  <si>
    <t>• 你向盟友、工作人员、或是无辜的旁观者发出劝诫，激励他们向往崇高的目标，不管到底有没有发生什么让他们兴奋的事情。选择施法距离内最多5个可以听见你的生物。在持续时间中，每个生物都可以得到5点临时生命值，并且在感知豁免中具有优势。如果一个受影响的生物被一次攻击命中，它将在下一个它所进行的攻击检定中具有优势。一旦一个受影响的生物失去了这个法术所提供的临时生命值，这个法术就对它结束了。
升环施法效应：当你使用4环或更高的法术位施展该法术时，使用的法术位每比3环高一环，提供的临时生命值就增加5点。</t>
  </si>
  <si>
    <t>• 巨龙汹涌的火焰从你的脚边喷涌而出，赋予你爆炸般的速度。法术持续时间内，你的速度提升20尺，并且移动不会触发借机攻击。
• 当你移动至一个生物或未被着装或携带的物件5尺内时，其被你的灼热尾迹灼烧，受到1d6点火焰伤害。一个生物或物件每回合只会承受一次此伤害。
• 升环施法效应：当你用4环或更高的法术位施展该法术时，你使用的法术位每比3环高一环，你的移动速度额外增加5尺，法术造成的伤害便增加1d6。</t>
  </si>
  <si>
    <t>• 你召唤一座两层的石制，木制，或其他合适建筑材料所制成的塔楼。塔的形状既可以是圆形也可以为方形。塔的每层有10尺高并有着最高100平方的面积。层与层之间的通道有一个简单的梯子与舱口组成。当你施法时，每一层有以下形式供你选择。
有床，椅子，柜子和魔法壁炉的卧室
有书桌，书，书架，羊皮纸，墨水和墨水笔的书房
有餐桌、椅子、魔法壁炉、容器和炊具的用餐处
有沙发、扶手椅、边桌和脚凳的休息室
有厕所、浴缸、魔法火盆和桑拿椅的卫生间
有望远镜和夜空地图的天文台
一间没有家具的空房间
• 塔的内部温暖而又干燥，且不受外部环境影响。任何随塔一同召唤的家具或设备如果被挪出塔外便会化为烟雾。法术结束时，与该法术无关的一切生物或物件将安全地出现在室外的地面上，且塔与其中家具的一切痕迹都将消失。
• 你可以在法术持续时再次施展该法术来将塔的存在延长24小时。在一年的时间内，你可以通过每天在相同的位置并以同样的配置来施放这个法术来创造一个永久塔。
• 升环施法效应：使用4环或更高法术位施展该法术时，你的法术位每比3环高一环，召唤的塔可以多一层。</t>
  </si>
  <si>
    <t>• 你以魔法之词低语，令施法距离内你选择的一个生物产生敌意。目标必须进行一次感知豁免。若豁免失败，目标会受到 4d4的心灵伤害，且必须立即使用反应对你选择的另一个你能看到的生物发动一次近战攻击。如果目标无法发动这次攻击（例如它的触及范围内没有生物，或者因为它的反应无法使用），那么在你的下一回合开始前，目标的下一次攻击检定具有劣势。若豁免成功，目标仅会受到一半的伤害。
• 升环施法效应： 当你使用4环或更高法术位施放本法术时，你使用的法术位每比3环高一环，法术的伤害就增加1d4。</t>
  </si>
  <si>
    <t>• 你在施法距离内创造出一个漂浮在空中的隐形魔法眼。
• 秘法眼拥有30尺普通视觉和黑暗视觉且可以观察任何方向。你通过精神连接接收秘法眼传来的视觉信息。
• 你可以使用一个动作让秘法眼向任意方向移动30尺。秘法眼远离你的距离没有限制，但它无法进入另一个位面。固体障碍物会阻挡秘法眼的移动，但它可以穿过任何直径大于1尺的缝隙。</t>
  </si>
  <si>
    <t>• 护佑的能量自你身上发出并形成30尺半径的灵光，在法术持续时间内，灵光将以你为中心随你移动。灵光范围内的非敌对生物（包括你自己）获得对黯蚀伤害的抗性，其生命值上限也无法被降低。另外，生命值为0的非敌对活体生物，在灵光范围内开始其回合时会恢复1点生命值。</t>
  </si>
  <si>
    <t>• 净化的能量自你身上发出并形成30尺半径的灵光，在法术持续时间内，灵光将以你为中心随你移动。灵光范围内的非敌对生物（包括你自己）不会陷入疾病状态，并获得对毒素伤害的抗性，其进行对抗下列状态的豁免时具有优势：目盲、魅惑、耳聋、恐慌、麻痹、中毒和震慑。</t>
  </si>
  <si>
    <t>• 你试图将一名你能看见的生物送往另一位面。目标必须进行一次魅力豁免并成功通过，否则将被放逐。
• 如果目标是你所处位面的原住民，则他被放逐到一个无害的半位面。在半位面期间该生物处于失能状态。法术终止时，目标重新出现在被放逐前的空间。如果该空间被占据，则它将出现在最近的未被占据空间。
• 如果目标不是你所处位面的原住民，则他会伴随着轻微的“啪”一声被放逐回其家园位面。如果法术在1分钟过去之前终止，则目标将在他被放逐前的空间重新出现。如果该空间被占据，则他在最近的未被占据空间出现。如果法术在持续1 分钟后终止，则目标不会回到原地。
• 升环施法效应：使用5环或更高法术位施展该法术时，你使用的法术位每比4环高一环，就能多指定一个目标。</t>
  </si>
  <si>
    <t>• 死灵魔法的能量袭向一个施法距离内你能看见的生物，并榨取他的水分和活力。目标必须进行一次体质豁免，豁免失败者将受到8d8点黯蚀伤害，豁免成功则伤害减半。该法术对构装生物和不死生物无效。
• 如果目标为植物类生物或魔法植物，则其豁免检定具有劣势，且法术伤害取最大值。
• 如果目标为非魔法非生物的植物，如一棵树或灌木，则它无需进行豁免而直接枯萎死去。
• 升环施法效应：使用5环或更高法术位施展该法术时，你使用的法术位每比4环高一环，法术的伤害就增加1d8。</t>
  </si>
  <si>
    <t>• 你尝试魅惑施法距离内的某个你能看见的生物。该生物必须进行一次感知豁免。如果你或你的同伴正在和该生物战斗，则该生物进行该豁免时具有优势。如果豁免失败，则该生物被你魅惑至法术终止，或者直到你或你的同伴对他做出伤害行为为止。此间，被魅惑的生物将视你为友方且熟悉的人。法术终止后，该生物将会发觉曾被你魅惑过。
• 升环施法效应：使用5环或更高法术位施展该法术时，你使用的法术位每比4环高一环，法术就能多影响一个目标。而各目标之间距离不能超过30尺。</t>
  </si>
  <si>
    <t>• 指定施法距离内你能看到，且能听到你声音的若干生物并迫使其分别进行一次感知豁免。其中无法被魅惑的目标将直接豁免成功，而豁免失败者将受到该法术效应的影响。直至该法术终止前，你可以在你每个回合中用一个附赠动作指向某个水平方向。随后，每个受术目标在其下一回合里必须使用其所有的移动力尽可能的向该方向移动。目标可以在移动前执行其动作，而完成这些移动行为后它可以再进行一次感知豁免以终止该效应。
• 每个目标不会被强令走向明显致命的危害物中，比如火堆或陷坑里，不过目标在向指定方向移动时同样可以引起借机攻击。</t>
  </si>
  <si>
    <t>• 此法术冲击并扭曲生物的意志，并使其产生错觉并引发不受控的行动。在施法距离内指定一点，以该点为中心的10 尺半径球状区域内的生物必须进行一次感知豁免并成功通过，否则将受到该法术的影响。
• 受术目标不能执行反应并且必须在其回合开始时掷一次d10以决定该生物本回合的行为。
• 行受术目标不能执行反应并且必须在其回合开始时掷一次d10以决定该生物本回合的行为。
→D10对应行为
→1    该生物使用其所有移动力向一个随机方向移动。你可以掷一次d8并设定每个骰值代表的方向以决定其最终移动方向。该生物本回合不执行任何动作。
→2-6  该生物本回合不移动也不执行任何动作。
→7-8  该生物使用其动作对可触及范围内一个随机目标发动一次近战攻击。如果没有生物在其触及范围内，则该生物本回合什么都不做。
• 受术生物在其每回合结束时可以在进行一次感知豁免。如果该豁免成功，则该目标身上该法术的效应终止。
• 升环施法效应：使用5环或更高法术位施展该法术时，你使用的法术位每比4环高一环，球状区域半径就增加5尺。</t>
  </si>
  <si>
    <t>• 你召唤元素生物并使其显现在施法范围内一处你能看见但未被占据的空间。选择以下选项之一作为显现的生物：
→一个挑战等级2或更低的元素生物
→两个挑战等级1或更低的元素生物
→四个挑战等级1/2或更低的元素生物
→八个挑战等级1/4或更低的元素生物
• 每个被该法术召唤的元素生物在生命值降至0，或者法术终止时消失不见。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升环施法效应：使用更高法术位施展该法术时，选择上文所述召唤选项之一，并显现更多生物：6环法术位显现两倍生物，8环法术位显现三倍生物。</t>
  </si>
  <si>
    <t>• 你召唤精类生物并使其显现在施法范围内一处你能看见但未被占据的空间。选择以下选项之一作为显现的生物：
→一个挑战等级2或更低的精类生物
→两个挑战等级1或更低的精类生物
→四个挑战等级1/2或更低的精类生物
→八个挑战等级1/4或更低的精类生物
• 每个被该法术召唤的精类生物在生命值降为0，或者法术终止时消失不见。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升环施法效应：使用更高法术位施展该法术时，选择上文所述召唤选项之一，并显现更多生物：6环法术位显现两倍生物，8环法术位显现三倍生物。</t>
  </si>
  <si>
    <t>• 你在法术终止前控制任一片独立的水体，控制范围为你指定的一处边长100尺的立方区域。施展该法术时，你可以从以下效应中选择其一生效。在你之后的每个自己回合中，你可以用一个动作重复生效同一效应，或是选择实现另一效应。
• 上涨 Flood：你使控制区域内水位上涨至多20尺。如果该区域包含有滨岸，则水体漫过涨水覆盖的干土。
  如果你指定的区域是一片大水体中的一部分，则你改为制造一片20尺高的波浪，并从区域的一边扑向另一边再拍下水面。波浪中任何巨型或更小的载具都会被带到水浪行进的另一边。且所有巨型或更小的载具都有25%的几率被倾覆。
  直至法术终止或你选择另一个效应前，水位的上涨情况将保持不变。如果该效应用以产生波浪，则波浪在你下一回合开始时再次进行翻打。
• 分水 Part Water：你使区域内的水体分开并形成一条水体的沟壑。沟壑从法术区域的一头延伸到另一头，而被分开的水体则在两边形成两道水墙。沟壑维持至法术终止或直至你选择另一个效应。该效应终止时，沟壑会在接下来的一轮里慢慢的恢复成通常的水位。
• 转向 Redirect Flow：你使区域内的水体向一个你自选的方向流动。使其绕过障碍，或沿着墙壁向上流，甚至流向一些不太可能的方向，区域内的水体都遵照你指使的方向流动，但一旦其流出法术区域，则恢复为其所在地形的流向。水体持续向你所选方向流动，直至法术终止或直至你选择另一效应。
• 漩涡 Whirlpool：该效应需要水体至少为50尺的方形区域并且至少有25尺深。你在区域中央形成一个漩涡。其形态为底部宽5尺顶部宽50尺，且25尺高。水中任何在漩涡25尺范围内的生物或物件将被漩涡向自身拉动10尺。受影响的生物可以进行一次力量（运动）检定来对抗你的法术DC，以通过游泳脱离漩涡控制。
  任何生物在一个回合内第一次进入漩涡或者在漩涡内开始其回合时，必须进行一次力量豁免。豁免失败者将受到2d8点钝击伤害，并被拖入漩涡中心直至法术终止。豁免成功则伤害减半，且不会被拖入漩涡。被拖入漩涡中心的生物可以用其动作尝试游泳来离开漩涡（如上文所述），但它此时进行的力量（运动）检定具有劣势。
• 物件在一回合里第一次进入漩涡时受2d8点钝击伤害；如果物件保持在漩涡内，该伤害就会在每轮持续发生。</t>
  </si>
  <si>
    <t>• 你触碰一个生物，并给予其对死亡的防护。
• 目标第一次生命值因承受伤害而降至0时，改为生命值降至1，并终止本法术效应。
• 法术生效时，如果目标受到不造成伤害但直接致死效应影响时，改为该致死效应被取消，并终止本法术效应。</t>
  </si>
  <si>
    <t>• 你将自己从当前位置传送至施法距离内的任意地点，并准确到达该目的地。法术的目的地可以是你能看见的、可想象的地点，也可以是通过距离和方向说明的地点，比如“径直向下200尺”，“西北向上45度300尺”。
• 进行传送时，你的随身物件不能超过你的负重。你还可以带上一个自愿的生物，且其体型不能比你大，而他的随身物件也不能超过其负重。该生物在你施法时必须在你5尺内。
• 如果你的目的地已经被生物或物件占据，则你以及任何与你一起传送的生物都将受到4d6点力场伤害，且法术传送失败。</t>
  </si>
  <si>
    <t>• 你的魔法和贡品让你得以与一名神祇或神仆取得联络。你可以就某个特定的目标、事件或活动提问一个与其7日内状况相关的问题。DM 将给予你真实的答复，这个答复可能是一段短语、一节神秘的短诗或是一个预兆。
• 此法术的回答并不会顾及所有可能影响结果的情况。比如其他法术的影响，或者同伴的加入和离开等状况。
• 若你在两次长休之间两次或更多次的施展该法术，则法术有概率会给出随机的结果。此概率从第二次施展起每次累计25％。其具体结果由DM暗骰决定。</t>
  </si>
  <si>
    <t>• 你试图安抚一头施法距离内你能看见的野兽，目标野兽必须成功通过一次感知豁免，否则将在法术持续时间内被你魅惑。若它正与你或你的友方生物战斗，则其进行该豁免时具有优势。
• 该野兽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升环施法效应：使用5环法术位施展该法术时，持续时间变为：专注，至多10分钟。使用6环法术位施展该法术时，持续时间变为：专注，至多1 小时。使用7环或更高法术位施展该法术时，持续时间变为：专注，至多8小时。</t>
  </si>
  <si>
    <t>• 指定施法距离内至多一个你能看见的生物，选择下述伤害类型之一：强酸，冷冻，火焰，闪电或雷鸣，并迫使目标进行一次体质豁免检定。豁免失败者直至法术终止前，每回合第一次受到选定类型的伤害时，目标额外受到2d6点对应类型的伤害。此外，直到法术终止，该目标失去对该伤害类型的任何抗性。
• 升环施法效应：使用5环或更高法术位施放该法术时，你使用的法术位每比4环高一环，就能多指定一个目标。而各目标之间距离不能超过30尺。</t>
  </si>
  <si>
    <t>• 你指定一处施法距离内你能看见的20尺方形区域，使其内布满蠕动的乌黑触须，进而使该区域成为困难地形。
• 任何生物在一个回合内第一次进入该区域，或者在区域内开始其回合时，必须进行一次敏捷豁免。豁免失败者将受到3d6点钝击伤害，并且被触须束缚直至法术终止。生物在区域内开始其回合时，如果已受触须束缚则受到3d6点钝击伤害。
• 受触须束缚的生物可以使用动作进行一次对抗法术豁免DC的力量检定或敏捷检定（自选其一），检定成功则挣脱束缚。</t>
  </si>
  <si>
    <t>• 你将一种原材料转化成该材料制作的成品。例如，你可以将一丛树木转化为一座木桥，一把麻草化为绳子，或是将亚麻和羊毛化作衣物。
• 指定施法距离内你能看见的原材料。只要有足够的材料，你就可以将他们转化为一件大型或更小的物件（至多占据10尺立方区域或八个相邻的5尺立方区域）。如果你的目标材料是金属、石料或者其他矿石材料，那么被制造的物件不能大于中型（至多占据5尺立方区域），制成品的质量和原材料质量相同。
• 生物或魔法物品不能作为该法术的原料或成品。你只有对制作某物品的工匠工具拥有熟练项时，才能使用该法术制作相应需要高工艺水平制作的物品，如珠宝、武器、玻璃、护甲等。</t>
  </si>
  <si>
    <t>• 你召唤一个圣魂并呈现出忠诚的、雄伟的坐骑外观。坐骑显现在施法距离内未被占据的空间，其外形由你从以下形态中选择：狮鹫Griffon、飞马Pegasus、鹿鹰兽Peryton、恐狼Dire Wolf、犀牛Rhinoceros或者剑齿虎Saber-toothed Tiger（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</si>
  <si>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 轻薄缥缈的火焰在法术持续期间环绕着你的身体，散发出10尺半径的明亮光照和再延伸10尺的微光光照。你可以借由使用一个动作解消它以提早结束此法术。
• 这层火焰可以提供你温暖的护盾或寒冷的护盾，由你选择。温暖的护盾将赋予你对冷冻伤害的抗性，而寒冷的护盾则会赋予你对火焰伤害的抗性。
• 此外，每当一个距离你5尺内的生物以一次近战攻击命中你，这个护盾将迸发出火焰。攻击者将受到来自温暖护盾的2d8火焰伤害，或来自寒冷护盾的2d8冷冻伤害。</t>
  </si>
  <si>
    <t>• 你触碰一个自愿生物，并使目标在法术持续时间内移动时不受困难地形限制，并使任何降低目标速度，或者使目标陷入麻痹或束缚的法术或魔法效应对其无法生效。
• 该目标还可以花费5尺移动力直接从非魔法的束缚中挣脱（诸如镣铐或生物的擒抱等）。此外，目标在水下进行移动和攻击时不再受减益规则的限制。</t>
  </si>
  <si>
    <t>• 你指定施法距离内至多十只蜈蚣，或三只蜘蛛，或五只黄蜂，或一只蝎子作为法术目标，在法术持续时间内你将其转化为它们自然形态的巨大版本。蜈蚣变成巨型蜈蚣，蜘蛛变成巨型蜘蛛，黄蜂变成巨型黄蜂，蝎子变成巨型蝎子。
• 每只生物都将服从你的口头命令。在战斗中，它们每轮在你的回合行动。这些生物的属性数据及其动作选项和移动能力均由DM掌控。
• 在法术持续时间内，目标生物将维持其巨大的体型，直到其生命值降至0或你用一个动作解除其身上的效应为止。DM可能会允许你指定不同的生物作为法术目标。例如，如果你转化一只蜜蜂，则其巨大版本可能会使用与巨黄蜂一样的属性数据。</t>
  </si>
  <si>
    <t>• 你指定施法距离内一个你能够看见的未被占据空间，并召唤一条藤蔓使其从该空间的地面上破土而出。施展该法术时，你可以指使该藤蔓抽拉其30尺范围内一个你能看见的生物。该生物必须进行一次敏捷豁免，豁免失败则被往藤蔓所在方向拉近20尺。
• 直至该法术终止前，你可以在你的回合里用一个附赠动作指使藤蔓抽拉同一生物或者转向抽拉另一个生物。</t>
  </si>
  <si>
    <t>• 一道半径20尺球形范围的破坏性能量在施法距离内你能看见的一点为源点形成，并开始拖拽范围内的生物。所有在范围内的生物必须进行一次体质豁免检定。若豁免失败，该生物受到5d10点力场伤害并且会被直直拉向能量的中心，并在离中心尽可能近的未被占据的空间停止（哪怕这会让他飞到天上）。若豁免成功，则其受到一半伤害并且不会被拉走。
• 升环施法效应：当你使用5环或者更高环位的法术位施展该法术时，每比4环高出一环的法术位可以使该法术的伤害增加1d10。</t>
  </si>
  <si>
    <t>• 你或一个你触碰的生物变为隐形，直至法术终止。任何保持在目标身上的着装物和携带物也可以维持隐形状态。</t>
  </si>
  <si>
    <t>• 一个大型的幽灵守护者出现在施法距离内一个你能看见且由你指定的未被占据空间，并在法术持续时间内在该处悬浮。占据该空间的守护者除了一把闪光的剑和饰有你守护神标志的盾牌外，其他部位都只是一片模糊。
• 任何与你敌对的生物在一回合内第一次进入守护者身边10尺范围内时必须进行一次敏捷豁免。豁免失败者将受到20点光耀伤害，豁免成功则伤害减半。守护者在造成总共60点伤害后随即消失。</t>
  </si>
  <si>
    <t>• 自然之魂回应你的呼唤并将你转变为一个强大的守卫。转变持续到法术结束。你选择以下形态之一取得：原始猛兽或战争巨树。
• 原始猛兽Primal Beast：如野兽般的皮毛覆盖你的身体，你的面部特征变得野性，并且你得到以下增益：
  你的步行速度增加10尺。
  你得到120尺的黑暗视觉。
  你基于力量的攻击检定具有优势。
  你的近战武器攻击在击中时会造成额外1d6力场伤害。
• 战争巨树Great Tree：你的皮肤出现树纹，枝叶从你的头发上萌芽，并且你得到以下增益：
  你得到10点临时生命值。
  你的体质豁免检定具有优势。
  你基于敏捷或基于感知的攻击检定具有优势。
  当你在地面上时，你周围15尺的地面对于你的敌人而言是困难地形。</t>
  </si>
  <si>
    <t>• 你使施法距离内一处150尺立方区域内的自然地形在视觉、听觉、嗅觉上都像是另一种自然地形。因此，开阔的平原或者一条路可能会变得像是一片沼泽，或是丘陵、裂谷以及其他困难地形，甚至是无法通过的地形。一个池塘可能变得看起来像一片草地，一个悬崖像是一个缓坡，或者使一条乱石沟像是一条宽阔平坦的道路。区域内经过加工的建筑、设备或生物的外表不会改变。
• 地形的触觉特征不会改变，所以进入这片区域的生物可能会看穿幻象。如果触觉区别不明显，一个认真调查幻象的生物可以尝试进行一次对抗法术豁免DC的智力（调查）检定以揭穿幻象。对于一个识破了幻象本体的生物，幻象看起来就像是一层模糊的图像叠加在真实地形上。</t>
  </si>
  <si>
    <t>• 以施法距离内一点为中心的一处半径20尺，高40尺的柱状区域内，岩石般坚硬的冰雹重重地砸向地面。每个处在范围内的生物都必须进行一次敏捷豁免，豁免失败者将受到2d8点钝击伤害和4d6点冷冻伤害，豁免成功则伤害减半。
• 冰雹使风暴影响的区域变为困难地形，直至你的下一回合结束。
• 升环施法效应：使用5环或更高法术位施展该法术时，你使用的法术位每比4环高一环，钝击伤害就增加1d8。</t>
  </si>
  <si>
    <t>• 你点名或描述一个你熟悉的生物。只要该生物与你相距不超过1000尺，你就会感测到该生物的方位。如果该生物正在移动，则你也将知晓其移动的方向。
• 该法术可以定位一个你认识的特定生物；或者它也可以定位特定的一类生物（例如人类或独角兽）中距你最近个体，不过你需要在30尺的近距离内看到过该类生物至少一次。如果被点名或描述的生物并不处于其原本的形态（例如正被一个变形术 Polymorph的法术效应影响时），则该法术无法定位该生物。
• 如果至少10尺宽的流水横亘于你和被定位生物之间阻挡了二者间的通路，则该生物也无法被该法术所定位。</t>
  </si>
  <si>
    <t>• 指定施法距离内一处你能看见且未被占据的空间，你在该处创造出一只幻影守护犬。守护犬会在法术持续时间内留在原地，直到你使用一个动作将其解散，或者直到你移动到距它100尺外。
• 除你之外的所有生物视守护犬处于隐形状态，且无法对其造成伤害。当一个小型或更大的生物进入守护犬30尺内时，如果该生物无法说出你在施法时设定的口令，守护犬则会开始大声吠叫。守护犬能看见隐形生物，也可以观察到以太位面，并且无视幻术的影响。
• 在你的每回合开始时，守护犬会尝试啮咬其5尺范围内一个与你敌对的生物。它的攻击加值等于你施法关键属性调整值＋你的熟练加值。若命中，则造成4d8点穿刺伤害。</t>
  </si>
  <si>
    <t>• 你对施法距离内一片区域施以魔法防护。该区域为一立方区域，其边长小至5尺，大至100尺。该法术一直持续至持续时间结束或施法者以一个动作主动解除。
• 施展该法术时，其生效的保护内容由你决定。在以下几项属性中作选择，你可以选择若干项或者全部选择：
→声音不能穿透被保护区域边缘的障壁
→被保护区域的障壁变得黑暗而模糊，无法通过视觉（包括黑暗视觉）看穿。
→预言法术创造的传感器无法出现在被保护区域内，也无法穿过区域边界处的障壁。
→区域内的生物不能成为预言法术的目标。
→任何事物无法通过传送进出被保护区域。
→在被保护区域内，位面旅行被封锁。
• 每日在同一个位置施展此法术，持续一年，会使这些效果成为永久性效果。
• 升环施法效应：使用5环或更高法术位施展此法术时，你使用的法术位每比4环高一环，你就可以将被保护的立方区域边长增加100尺。比如使用5环法术位时，你就能保护边长至多200尺的立方区域。</t>
  </si>
  <si>
    <t>• 一个微微发光的力场球将施法距离内一个大型或更小的生物或物件封在其中。一个非自愿的生物必须进行一次敏捷豁免，豁免失败则该生物在法术持续时间内被关封在球体中。
• 任何事物——包括实体物件、能量或其它法术效应都不能穿透力场球的障壁进出其内，不过生物在球内仍可以正常呼吸。球体免疫一切伤害，且球内的生物或物件不能被来自球外的攻击或效果所伤害，球内的生物也不能对球外的事物造成伤害。
• 该球体没有重量，而其尺寸刚好可以容纳球内的生物或物件。被封住的生物可以使用其动作推动球壁并以该生物速度的一半滚动球体。另外，球体也可以被其他生物拿起或移动。
• 对球体施展解离术 Disintegrate后可以摧毁球体而不伤害球内的任何事物。
• 补充：设计师说明类似任意门、雷霆步这样的【传送】效应可以在力场墙内外进出。</t>
  </si>
  <si>
    <t>• 你指定施法距离内一个你能看见的生物，并窥探其噩梦以具象其最深的恐惧，依此创造一个只有目标能看见的幻象化身。目标生物必须进行一次感知豁免。豁免失败时，目标将在法术持续时间内陷入恐慌。在法术终止前，目标必须在其每回合结束时进行一次感知豁免，豁免失败则受4d10点心灵伤害。豁免成功则法术终止。
• 升环施法效应：使用5环或更高的法术位施展该法术时，你使用的法术位每比4环高一环，伤害就增加1d10。</t>
  </si>
  <si>
    <t>• 该法术将一个施法距离内你能看见的生物变化为一个新的形态。一个非自愿的生物必须进行一次感知豁免来避免此效应。该法术无法对变形生物或生命值为0的生物生效。
• 法术产生的变化在法术持续时间内得以维持，或直至目标的生命值降为0或死亡。新形态可以是任何挑战等级小于等于目标本身的野兽（如果目标没有挑战等级，则以其等级为基准）。目标的游戏资料以及心智相关的属性值都将被所选定野兽的属性数据取代。而其阵营和个性则仍然保留。
• 目标使用其新形态的生命值。当它变回正常形态时，则立即恢复变化前的生命值。如果目标因为生命值降至0而变回正常形态，则其正常形态需要承受所有的溢出伤害。只要溢出的伤害没有将该生物正常形态的生命值降为0，它就不会因打击而陷入昏迷。
• 该生物可作出的动作因其新形态而有所限制。它不能说话，不能施法，也不能作出其他需要用手和需要说话的动作。
• 目标的装备融入新形态中，但其不能启动，使用，挥舞或以其他方式从其装备上获得增益。</t>
  </si>
  <si>
    <t>• 如同火焰般的暗影完全笼罩住你的身体，使你对于其他人处于重度遮蔽，直到法术结束。
• 暗影将你周围10尺内的微光照明转变为黑暗，或者把同样区域的明亮照明转变为微光。直到法术结束之前，你得到对光耀伤害的抗性。此外，不论何时在你周围10尺内的生物用攻击命中你时，暗影会猛击那个生物，对他造成2d8点黯蚀伤害。</t>
  </si>
  <si>
    <t>• 淡绿色的光线以你选择的距离内一点为中心扩散成半径30尺的球体。光线会蔓延过拐角，并一直持续到法术结束。
• 当一个生物在回合内第一次进入法术区域，或者是在其中开始回合，生物必须成功通过一次体质豁免检定，否则将承受4d10光耀伤害和一级力竭，并且会发散出5尺半径的暗绿色光线。这个光线让生物无法从隐形中获益。光线和由于该法术所产生的任何等级的力竭在法术结束时消失。</t>
  </si>
  <si>
    <t>• 你在法术持续时间内下一次用近战武器攻击命中某个生物时你的武器将同时贯穿对方的身体与心智。该攻击对目标造成额外4d6点心灵伤害。该目标必须进行一次感知豁免，豁免失败则目标进行攻击检定和属性检定时具有劣势，且不能执行反应直至其下一回合结束。</t>
  </si>
  <si>
    <t>• 你触碰一个体积为中型或更小的石质物件或某块岩石长宽高都不超过5尺的一部分，并将其塑造成你想要的任意形状。比如你可以将一块大石头变成一件武器、一尊塑像、一具棺材，也可以在石墙上开出一条小通道，前提是墙的厚度不能超过5尺。你也可以使一扇石门或石质门框变形来将门封死。你创造的物件最多可以有两条铰链和一道闩，除此之外不能以该法术能塑造出更复杂的机械结构。</t>
  </si>
  <si>
    <t>• 该法术使你触碰的一个自愿生物皮肤变得硬如岩石。目标在法术终止前对非魔法的钝击、穿刺和挥砍伤害具有抗性。</t>
  </si>
  <si>
    <t>• 在距离内，由你指定的一点为中心，出现了一个由强风构成的20尺半径的球体。该球体将在法术的持续时间内持续存在。在球体出现时处于其中的生物，或是在球体内结束其回合的生物均必须通过一次力量豁免检定，否则受到2d6点钝击伤害。球体所在的空间成为困难地形。
• 直到法术终结，你可以在你的每个回合使用一个附赠动作，令球体中心射出一发闪电，攻击距中心不超过60尺范围内的生物。进行一次远程法术攻击，如果攻击目标在球体内，这次攻击检定具有优势。若击中，目标受到4d6点闪电伤害。
• 在球体周围30尺内的生物在用于聆听的感知（观察）检定中具有劣势。
• 升环施法效应：当你使用5环或更高的法术位施放该法术时，使用的法术位每比4环高一环，所有效应产生的伤害便各增加1d6。</t>
  </si>
  <si>
    <t>• 你从遥远国度或另一个疯狂魔域召来一个灵魄。此灵魄在施法距离内你可见的一个未占据位置化为实体。这一实体使用下面的异怪灵魄Aberrant Spirit的数据。当你施展法术时，从类眼魔Beholderkin，史拉蟾Slaadi或星之子Star Spawn中选择一个。此生物的外形与你所选一致，其资料表中的部分特性也受此影响。当其生命值降到0或法术结束时，生物消失。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升环施法效应：使用5环或更高法术位施展该法术时，该生物数据中使用更高的法术环阶。
异怪灵魄 Aberrant Spirit
中型异怪
AC：11+法术环阶（天生护甲)
HP：40+10每比4环高的法术环阶
速度 30尺，飞行30尺（仅限类眼魔，悬浮）
力量16（+3）  敏捷10（+0）  体质15（+2）
智力16（+3)   感知10（+0）  魅力6（-2）
伤害免疫：心灵
感官：黑暗视觉60尺，被动察觉10
语言：深潜语，懂你说的语言
挑战等级：—
熟练加值：与你相等
再生Regeneration（仅限史拉蟾）。异怪在其自己的回合开始时恢复5点生命值，前提是它至少有1点生命值。
低语灵光Whispering Aura（仅限星之子）。在异怪每个回合的开始时，其5尺内的每个生物必须成功通过一次对抗你的法术豁免DC的感知豁免，否则受到2d6点心灵伤害。
动作
多重攻击Multiattack。异怪发动等同于法术环阶一半的次数的攻击（向下取整）。
爪击Claws（仅限史拉蟾）。近战武器攻击：命中+你的法术攻击调整值，触及5尺，单一目标。伤害：1d10+3+法术环阶点挥砍伤害。如果目标是生物，其直到异怪下回合开始不能恢复生命值。
眼波射线Eye Ray（仅限类眼魔）。远程法术攻击：命中+你的法术攻击调整值，射程30尺，单一生物。伤害：1d8+3+法术环阶点心灵伤害。
灵能猛击Psychic Slam（仅限星之子）。近战法术攻击：命中+你的法术攻击调整值，触及5尺，单一生物。伤害：1d6+3+法术环阶点心灵伤害。</t>
  </si>
  <si>
    <t>• 你唤来一个构装生物灵魄。其在施法距离内你可见的一个未占据位置化为实体。这一实体使用下面的构装体灵魄Construct Spirit的数据。当你施展法术时，从粘土Clay，金属Metal或石Stone中选择一个材质。此生物的外形为一个你选定材质的魔像Golem或魔冢Modron，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构装体灵魄Construct Spirit
中型构装生物
AC：13+法术环阶 (天生护甲)
HP：40+15每比3环高的法术环阶（原文如此）
速度：30尺
力量18（+4）  敏捷10（+0）  体质18（+4）
智力14（+2)   感知11（+0）  魅力5（-3）
伤害抗性：毒素
状态免疫：魅惑，力竭，恐慌，失能，麻痹，石化，中毒
感官：黑暗视觉60尺，被动察觉10
语言：理解你说的语言
挑战等级：—
熟练加值：与你相等
灼热之躯Heated Body（仅限金属）。当一个生物在构装生物周边5尺范围内触碰或对其发动近战攻击命中时，将受1d10点火焰伤害。
石迷昏眠Stony Lethargy（仅限石）。当一个构装生物可见的生物在其10尺距离内开始回合时，构装生物可以强迫其进行一次感知豁免对抗你的法术豁免DC，豁免失败则其直到其下个回合开始前不能使用反应，且速度减半。
动作
多重攻击Multiattack。构装生物发动等同于法术环阶一半的次数的攻击（向下取整）。
猛击Slam。近战武器攻击：命中+你的法术攻击调整值，触及5尺，单一目标。伤害：1d8+4+法术环阶点钝击伤害
反应
狂怒乱击Berserk Lashing（仅限粘土）。当构装生物受到伤害时，对其5尺内的随机一个生物进行一次猛击攻击。如果在其触及范围内没有生物，则该构装生物会以其一半的速度朝着其可见的一个敌人移动，且不会引发借机攻击。</t>
  </si>
  <si>
    <t>• 你吐出污秽的词语，从无底深渊的无尽混沌中召唤来一只恶魔。你选择挑战等级为5或更低的一种恶魔类型，例如影魔Shadow Demon或者是巴古拉魔Barlgura。恶魔出现在法术距离内你可见的一处未被占据的空间，当它的生命值降低至0点或是法术结束时，恶魔将会消失。
• 恶魔拥有自己的回合，你为他投掷先攻。当你在召唤它以及在之后你的每一个回合，你都可以向它发布口头命令（无需你的动作），告诉它在下个回合它必须做什么。如果你没有发布命令，它会花费自己的回合用来攻击任何在触及范围内攻击它的生物。
• 在恶魔的每个回合结束时，它都会进行一次魅力豁免检定。如果你说出它的真名，恶魔会在这次豁免检定中具有劣势。如果豁免失败，恶魔继续服从你。如果豁免成功，在法术剩下的时间中你失去对恶魔的控制，并且恶魔会花费它的回合用于追逐和攻击最近的非恶魔生物，尽其所能。即使你在到达完整的持续时间之前中断该法术的专注，一个失去控制的恶魔在1d6轮内仍然不会消失，只要它还留有生命值。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升环施法效应：当你使用5环或更高的法术位施放该法术时，使用的法术位每比4环高一环，允许召唤的恶魔挑战等级就+1。</t>
  </si>
  <si>
    <t>• 你指定距离之内的一点，一颗发光的1尺直径的强酸球飞向那里爆炸，酸液飞溅到20尺半径内的球形区域。在该区域中的每个生物必须进行一次敏捷豁免检定。若检定失败，其受到10d4点强酸伤害，并在其下个回合结束时再受到5d4点强酸伤害。若豁免成功，该生物只受到初始伤害的一半且不会在其下个回合结束时受到伤害。
• 升环施法效应：当你使用5环或更高的法术位施放该法术时，使用的法术位每比4环高一环，初始伤害便增加2d4。</t>
  </si>
  <si>
    <t>• 你在施法距离内一块实体地面上创造出一面火墙。你可以选择创造长不过60尺、高不过20尺、厚不过1尺的直线型火墙；或是直径不过20尺、高不过20尺、厚不过1尺的环形火墙。火墙不透明，且将持续存在至法术终止。
• 火墙出现时，所有位于火墙区域内的生物必须进行一次敏捷豁免。豁免失败者将受到5d8点火焰伤害。豁免成功则伤害减半。
• 施展该法术时，你要必须选择火墙的哪一侧会造成伤害。生物在火墙伤害侧10尺内或在火墙区域内结束其回合时，将受到5d8点火焰伤害。生物在一个回合内第一次进入火墙或在火墙内结束其回合时也会受到同样的伤害。火墙的另一侧则不造成任何伤害。
• 升环施法效应：使用5环或更高法术位施展该法术时，你使用的法术位每比4环高一环，法术的伤害就增加1d8。</t>
  </si>
  <si>
    <t>• 你在距离之内，你能看见的一点上召唤出一个半径5尺的水球。水球可以悬浮于空气中，但其离地高度不能超过10尺。水球将在法术的持续时间内持续存在。
• 处于水球空间内的任何生物必须进行一次力量豁免检定。若豁免成功，该生物将被排出到水球周围最近的未被占据的空间中。巨型或更大的生物将自动于此豁免检定中成功，一个大型或更小的生物可以选择在豁免中失败。若豁免失败，生物会被水球束缚，被水淹没。在其每个回合的结束，被束缚的生物可以重试此豁免检定，若成功则结束法术对自己的效果。
• 水球可以容纳至多4个中型（或更小的）生物，或是1个大型生物。若水球束缚了一个超过上限的生物，一个已经被束缚的随机生物将被排除，在水球周围5尺范围内摔倒。
• 以一个动作，你可以在直线方向上移动水球，至多移动30尺。若其移动时经过了一个坑，悬崖或类似地形，它会安全的落下，直到悬浮在地表10尺为止。水球束缚的所有生物也会随之移动。你可以用水球撞击生物来迫使其进行豁免检定。
• 当此法术终止时，水球会掉落在地，熄灭其周围30尺内的所有普通火焰。任何被水球束缚的生物会在摔落点成为摔倒状态。随后水流会消失。</t>
  </si>
  <si>
    <t>• 你唤来一个元素灵魄。其在施法距离内你可见的一个未占据位置化为实体。这一实体使用下面的元素灵魄Elemental Spirit的数据。当你施展法术时，从气Air，土Earth，火Fire或水Water中选择一个元素。此生物的外形如同一个周身缠绕着你所选元素的模糊二足人影，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升环施法效应：使用5环或更高法术位施展该法术时，该生物数据中使用更高的法术环阶。
元素灵魄Elemental Spirit
中型元素生物
AC：11+法术环阶 (天生护甲)
HP：50+10每比4环高的法术环阶
速度：40尺，掘地40尺（仅限土），飞行40尺（悬浮）（仅限气），游泳40尺（仅限水）
力量18（+4）  敏捷15（+2）  体质17（+3）
智力4（-3)    感知10（+0）  魅力16（+3）
伤害抗性：强酸（仅限水），闪电和雷鸣（仅限气），穿刺和挥砍（仅限土）
伤害免疫：毒素，火焰（仅限火）
状态免疫：力竭，麻痹，石化，中毒，昏迷
感官：黑暗视觉60尺，被动察觉10
语言：原初语，懂你说的语言
挑战等级：—
熟练加值：与你相等
不定形态Amorphous Form（仅限风，火和水）。元素生物能够轻松穿过最窄1寸宽的狭窄空间而不用挤进去。
动作
多重攻击Multiattack。元素生物发动等同于法术环阶一半的次数的攻击（向下取整）。
猛击Slam。近战武器攻击：命中+你的法术攻击调整值，触及5尺，单一目标。伤害：1d10+4+法术环阶点钝击伤害（仅限气，土和水）或火焰伤害（仅限火）</t>
  </si>
  <si>
    <t>• 你从你的额头处释放一道闪闪发光的灵能长矛，瞄准法术范围内你可见的一个生物。或者，你可以说出一个生物的名字。如果被唤名的生物身处施法距离内，即使你无法看见它，它也会成为法术的目标。如果被唤名的生物不处于施法距离内，长矛会消失并且没有任何效果。
• 目标必须成功通过一次智力豁免，否则将受到7d6点心灵伤害并陷入失能，直至你的下回合开始。豁免成功则伤害减半且不会失能。
• 升环施法效应：当你用5环或更高的法术位施展此法术时，你使用的法术位每比4环高一环，法术的伤害便增加1d6。</t>
  </si>
  <si>
    <t>• 你在施法距离内的一点召唤出一名小型气元素。气元素没有形体且近乎透明，它对所有伤害免疫且无法与其他生物或物件互动。它携带着一件内部尺寸为每边3尺的打开的空箱子。当法术持续时，你可以在箱子内存放尽可能多的物品。随后你可以指定一名你曾见过至少一次，或拥有其一件身体部位，头发，指甲或类似物件的生物。
• 一旦箱子的盖子被合上，气元素与箱子将会消失，并随后在目标生物的旁边重新出现。如果目标生物处在另一个位面，或是不受魔法侦测和定位的影响，箱子里的物件将在你脚下的地面上重新出现。
• 目标生物在选择是否打开箱子前会知道其中内容，并知道在法术结束前它还有多少时间取得其中物品。其他任何生物都无法打开箱子和取得其中的内容。当法术结束或箱子内部所装物品皆被移出之后，气元素与箱子都会消失。如果目标生物命令气元素将物品返还与你，则它也会消失，而箱子内未被取出的物品将在你脚下的地面上重新出现。
• 升环施法效应：使用8环法术位施展该法术时，你可以将箱子送往与你处在不同存在位面的生物。</t>
  </si>
  <si>
    <t>• 选择施法距离内的一处30尺立方区域，你加固这片区域的位面结构。这片区域内，的所有传送门都将关闭且在法术持续时间内无法被再次开启。任何能进行位面旅行或开启传送门的法术（例如 异界之门gate 或 位面转移plane shift）如果被用于进入这片区域或离开这片区域的话，都将自动失败。这片立方区域是无法移动的。
• 升环施法效应：当你使用6环或更高环阶的法术位施展本法术时，本法术将一直持续至被解除为止。</t>
  </si>
  <si>
    <t>• 你唤来一个象征死神的灵魄。其在施法距离内你可见的一个未占据位置化为实体，并使用收割者灵魄 Reaper Spirit的数据。当其生命值降至0或法术结束时，灵魄会消失。
该灵魄在法术持续时间内对你和你的同伴们友好。在战斗中，该生物使用你的先攻，但在你回合结束后立即行动。它遵从于你的口头指令（无需任何动作）。如果你不发令，它将执行回避动作并远离危险。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升环施法效应：使用5环或更高法术位施放本法术时，该法术召唤的收割者灵魄数据中使用更高的法术环阶。
收割者灵魄 Reaper Spirit
中型不死生物，绝对中立
AC:11+法术环阶（天生护甲）
HP:40+高于4环每环10点
速度:30尺，飞行30尺（悬浮）
力量16（+3） 敏捷16（+3） 体质16（+3）
智力16（+3） 感知16（+3） 魅力16（+3）   
伤害免疫:黯蚀，毒素
状态免疫:魅惑，力竭，恐慌，麻痹，中毒
感官:黑暗视觉60尺，被动察觉13
语言:理解你所说的语言
挑战等级:——
熟练加值：等同于你的熟练加值
虚体移动 Incorporeal Movement。灵魄可以如同穿过困难地形一样穿过其他生物和物件。如果它在自己的回合结束时仍处在物件内部则受到5（1d10）的力场伤害。
动作Actions
多重攻击Multiattacks。灵魄发动等同于法术环阶一半的次数的攻击 （向下取整）。
收割之镰Reaping Scythe。近战武器攻击：命中使用你的法术攻击调整值(具有优势)，触及5尺，单一被作祟的生物。命中:1d8+3+该法术环阶的黯蚀伤害。
附赠动作Bonus Actions
作祟生物Haunt Creature。灵魄以自己10尺内的一个生物为目标，并开始作祟该生物。当目标被作祟时，如果目标和你在同一个存在位面上，你和灵魄就会感知到目标的方向和距离。此外，如果目标在灵魄10尺内开始其回合，则该目标必须对你的法术豁免DC进行一次成功的感知豁免，否则将陷入恐慌状态直到目标的下一回合开始。目标在死亡、灵魄消失或灵魄再次使用此动作前一直处于被作祟状态。</t>
  </si>
  <si>
    <t>• 物件在你的命令下“活”了过来。在施法距离内指定至多十个未被持用或穿戴的非魔法物件作为法术目标。其中，中型目标视为两个物件，大型目标视为四个物件，而巨型目标则视为八个物件，而你无法活化比巨型更大的物件。施法后，每个目标被唤起为受你控制的生物直至法术终止，或直至该生物生命值降至0。
• 你可以使用一个附赠动作并以精神命令操纵500尺内任何你用此法术唤起的生物（如果你操纵多个生物，则你的命令可以
同时传达给它们全部或是其中的某几个，不过只能使用同一种命令）。你决定被操纵生物下回合的动作和移动。或者，你也可以选择下达宽泛的命令（比如守护某个房间或走廊）。没有接受到你命令的生物只会对敌对生物作出自卫行为。一旦被下达命令，该生物会持续执行命令直到任务完成。
• 活化物件属性资料见额外信息
• 被活化物件的AC、HP、攻击，以及力量和敏捷值由其体型决定。其体质为10，智力和感知为3，魅力为1。其速度为30尺，如果它没有腿或者类似的构造，则改为30尺的飞行速度并且可以悬浮。如果该物件被牢牢固定在某个表面或更大的物件上（例如被铁链拴在墙上），则其速度为0。其拥有30尺盲视感官，该感官范围之外则视为目盲状态。被活化物件的生命值降至0 时，即变回普通的物件，且以物件形态承受所有溢出的伤害。
• 如果你命令活化物件发动攻击，则它可以对其5尺内的一个生物发动一次近战攻击。它将发动一记猛击并造成钝击伤害，相应的攻击加值和伤害由其体型决定。此外，DM还可以认定某些物件可以造成挥砍或穿刺伤害。
• 升环施法效应：使用6环或更高法术位施展该法术时，你使用的法术位每比5环高一环，就多唤起两个物件。</t>
  </si>
  <si>
    <t>• 闪光的屏障环绕你周边10尺内的区域并以你为中心移动，其阻绝除不死生物和构装生物之外的生物类型。护罩持续存在至法术终止。
• 护罩阻止受影响的生物穿过或进入其内，但受影响的生物可以使用法术，远程武器或长武器对护罩内部发动攻击。
• 若你移动时迫使受影响生物进入护罩内，则法术随之终止。</t>
  </si>
  <si>
    <t>• 利用施法的8小时引导一块昂贵宝石中的魔法回路后，你触碰一个巨型或更小的野兽或植物作为法术目标。目标必须没有智力值或智力小于等于3。受术后其智力变为10，且学会说一门你所掌握的语言。如果目标是植物，则他获得使用枝、根、藤、蔓或类似部位移动的能力，并获得类似于人类的感官。DM为启蒙植物决定属性数据，例子可参考怪物图鉴的启蒙灌木和启蒙树。
• 被启蒙的植物或野兽在30日内处于被你魅惑的状态，或是直到你或你的盟友做出任何伤害它的举动。魅惑终止后，启蒙生物将根据你对待他的方式决定是否对你保持友善。</t>
  </si>
  <si>
    <t>• 你在法术终止前的下一次近战武器攻击命中某生物时将从武器中爆发巨力，使该次攻击对目标额外造成5d10点力场伤害。此外，如果本攻击将目标的生命值降低至50以下，则该生物被放逐。如果目标不是你所处位面的原住民，则他将被放逐回其家园位面。如果目标是你所处位面的原住民，则他将被放逐到一个无害的半位面。在半位面期间，该生物处于失能状态。直至法术终止时，目标将出现在其被放逐前的位置。如果该位置被占据，则目标将出现在距离该位置最近的一个未被占据空间。</t>
  </si>
  <si>
    <t>• 你在施法距离内指定一处你能看见且未被占据的空间，并在该处创造出一只闪烁着微光的巨手。巨手在法术持续时间内维持存在，并听从你的命令模仿你手掌移动的方式进行移动。
• 巨手视为一个大型物件，其AC为20，生命值等于你的生命值上限。如果它的生命值降至0则法术提前终止。其力量为26（+8），敏捷为10（+0）。巨手并不占据其所在的空间。
• 施展此法术时，你可以令巨手移动至多60尺远并造成下列效应之一。你也可以在自己随后的回合里以一个附赠动作完成该效应。
• 金刚拳Clenched Fist：巨手对自身5尺内的一个生物或物件发动打击。用你自身的游戏资料发动一次近战法术攻击，并在命中时造成4d8点力场伤害。
• 飞击掌 Forceful Hand：巨手尝试对自身5尺内的一个生物进行推挤。用巨手的力量检定与目标的力量（运动）检定作对抗。如果目标为中型或更小的生物则你的检定具有优势。你胜出对抗时，目标将被推开数尺，其具体尺数等于5加上你施法关键属性调整值得五倍。巨手随着目标一起移动，并与之保持5尺的距离。
• 擒拿掌 Grasping Hand：巨手尝试对自身5尺内的一个巨型或更小的生物进行擒抱。该擒抱的计算数据使用巨手的力量值。如果目标体型为中型或更小，则你的检定具有优势。在巨手擒抱目标期间，你可以使用一个附赠动作命令巨手对其进行挤压，并对目标造成2d6＋你的施法关键属性调整点钝击伤害。
• 护身掌 Interposing Hand：巨手阻挡在你和一名你所选生物中间，直到你给他另一个命令为止。巨手不断移动保持在你和目标中间，使得你相对目标处于半身掩护。如果目标的力量值小于或等于巨手的力量值，则其无法穿过巨手的阻挡。如果其力量值高于巨手，则目标可以穿过巨手所在的空间，不过该空间必须被目标视为困难地形。
• 升环施法效应：使用6环或更高法术位施展该法术时，你使用的法术位每比5 环高一环，则金刚拳的伤害提高2d8，擒拿掌的伤害提高2d6。</t>
  </si>
  <si>
    <t>• 你身上发出神圣能量并以扭曲散溢的魔法能量构成一个半径30尺的球状力场。法术持续时间内力场将以你为中心随你移动。力场范围内的友方生物（包括你自己）为对抗法术或其他魔法效应而进行的豁免检定具有优势。此外，受该法术效应影响的生物在对抗豁免成功则伤害减半的法术或魔法效应时，若成功则不受伤害。</t>
  </si>
  <si>
    <t>• 你在施法距离内指定一点，并以该点为中心创造一片20尺半径的球状黄绿色剧毒浓雾，且该浓雾会围绕拐角扩散。雾气在法术持续时间内维持存在，但仍会被强风吹散。而其存在区域则视为重度遮蔽。
• 任何生物在一个回合内第一次进入法术区域，或者在区域内开始其回合时，必须进行一次体质豁免。豁免失败者将受到5d8点毒素伤害，豁免成功则伤害减半。该生物就算屏住呼吸或者不需要呼吸也会受到浓雾效应的影响。
• 浓雾在你每回合开始时沿着地面向远离你的方向移动10尺。雾气比空气重，因此会沉落低洼地面甚至渗进地隙中。
• 升环施法效应：使用6环或更高法术位施展该法术时，你使用的法术位每比5环高一环，法术的伤害就增加1d8。</t>
  </si>
  <si>
    <t>• 你与所信奉神祇或其代理人进行联系，并询问至多三个能以“是”或“否”回答的问题。你必须在法术终止前完成提问，并在随后分别获得每个问题的答案。
• 这些神能存在也并非全知全能，因此当问题涉及的信息超过神祇的认知范围时，你可能会得到一句“不确定”作为回答。另外当一个单词可能引致误导，或者与神祇的兴致相违背时，DM可能会提供一句短语作为答案。
• 若你在两次长休之间两次或更多次的施展该法术，则法术有一定的几率不给任何答复。此概率从第二次施展起每次累计25％。其具体结果由DM暗骰决定。</t>
  </si>
  <si>
    <t>• 你短暂的成为大自然的一部分并以此获得周围地形的信息。在户外时，该法术可以让你了解3里内大地的状况。在洞穴和其他天然地下场所中，其范围缩小为300 尺半径区域内。自然环境中被建筑覆盖的区域里（比如地下城或城镇中）法术无法生效。
• 你立即获得的自然资讯至多与该地域三个方面的主题相关，在以下项目中进行选择。
→地形和水体
→区域内分布的植物，矿物，动物或人物
→强大的天界生物，精类生物，邪魔，元素生物或者不死生物
→受其他存在位面的影响
→建筑物
• 例如，你可以侦测到某个强大不死生物在区域中的位置，干净安全的水源所在地，以及附近城镇的方位。</t>
  </si>
  <si>
    <t>• 一片冷空气从你手上迸发而出。在60尺锥状区域内的每个生物必须进行一次体质豁免。豁免失败者将受到8d8点冷冻伤害，豁免成功则伤害减半。
• 被该法术杀死的生物将成为一尊冰冻塑像并持续至被解冻。
• 升环施法效应：使用6环或更高法术位施展该法术时，你使用的法术位每比5环高一环，法术伤害就增加1d8。</t>
  </si>
  <si>
    <t>• 你召唤出一个元素生物仆从。在施法距离内指定一处充满气、土、火、水四物质其一的10尺立方区域作为法术目标。例如，一只火元素从篝火中成型，而一只土元素则从地面上浮现。一个挑战等级5或者更低的元素生物从目标区域成型，并显现在该区域10尺内一处未被占据空间。该生物在生命值降至0时，或者法术终止时消失不见。
• 被召唤的元素生物对你和你的伙伴保持友善关系。你为召唤出来的元素生物掷先攻权，并依此获得其自己的行动回合。该元素生物服从你发出的所有语言命令（不需要你作动作）。如果你不发出任何命令，该生物会在敌对生物前保护自己，如果没有敌对生物则不执行任何动作。
• 如果你专注被打断，该元素生物并不会因此消失不见，但你会因此失去该元素生物的控制权。失控的元素生物对你和你的伙伴变为敌对，并随时准备发动攻击。不受控的元素生物无法被你解散，并在你的召唤开始算起1小时后消失不见。
• 该元素生物的具体数值由DM掌控。
• 升环施法效应：使用6环或更高法术位施展该法术时，你使用的法术位每比5环高一环，召唤生物挑战等级就增加1。</t>
  </si>
  <si>
    <t>• 你向空中用远程武器射出一发非魔法的弹药或者掷出一把非魔法的投掷武器，并指定施法距离内一点，随后，无数以所发射弹药或武器为原型的复制体向该点倾盆而下，并在完成攻击后消失不见。箭雨充斥以目标点为中心半径40尺，高20尺的柱状区域，其内的每个生物都必须进行一次敏捷豁免，豁免失败者将受到8d8点伤害，豁免成功则伤害减半。法术所造成伤害的类型与用作法术成分材料的弹药或武器相同。</t>
  </si>
  <si>
    <t>• 你与一名半神，或者一个古老的贤者亡魂，又或是其他异位面的神秘实体建立了精神的连接。与这些跨位面亚种生物进行的知性接触可能会增加你的精神负担，甚至导致精神崩溃。当你施展此法术时，进行一个DC15的智力豁免。豁免失败时，你受到6d6点心灵伤害并因此而变得错乱，直至完成一个长休以结束该状态。处于错乱状态时，你不能执行动作，不能理解其他生物说的话也无法阅读，你说出口的也都是一些含糊不清的语句。对你施放法术高等复原术 Greater Restoration可以直接终止该效应。
• 豁免成功时，你可以询问该实体五个问题。你必须在法术结束前提出你的问题。而你所提出的每条问题DM都可以用一个单词作回答，比如“是”“不是”“可能”“不可能”“没关系”或是“不清楚”（如果该实体不知道该问题答案时）。如果一个单词的答案可能导致误导，DM可能会用一句短语来作为问题的答案。</t>
  </si>
  <si>
    <t>• 你获得对距离内，你可以看见的，100立方尺的空气的操控能力。当施放此法术时，选择下述效果之一。该效果将在法术的持续时间内始终生效，除非你在稍后的回合中使用一个动作来调整为其他的效果。你也可以使用你的动作来暂停效应或重启一个被暂停的效应。
• 狂风Gusts：你操控的空气中产生了一阵狂风，持续的向一个由你选择的水平方向吹去。你选择风力的强度：微风calm，大风moderate和强风strong。若风力为大风或强风，进入或者离开区域，或者是穿过其中的远程武器攻击在其攻击检定中得到劣势。若风力为强风，逆风而行的生物每移动1尺需要额外消耗1尺的移动力。
• 下沉气流Downdraft：你操控的空气产生了向下的气流，从空间的顶部开始下沉。穿过其中的远程武器攻击，或是对于处于其中的生物进行的远程武器攻击在其攻击检定中得到劣势。生物每回合第一次飞进受影响的空间，或是在飞行状态下于受影响的空间开始其回合，其必须进行一次力量豁免检定。若检定失败，该生物摔落倒地。
• 上升气流Updraft：你操控的空气产生了向上的气流，从空间的底部开始上升。在该空间内结束摔落的生物只会因为该摔落受到一半的伤害。处于该空间内的生物垂直跳跃时，其能比正常情况下跳跃的高度高出10尺。</t>
  </si>
  <si>
    <t>• 你从堕影冥界取来一些暗影物质，并在施法距离内创造一个非活体的物件。你可以创造一个植物质（类似纺织品、绳索、木质等）的物件。也可以创造一个矿物质（类似石质、水晶、金属等）的物件。创造出来的物件大小必需在5尺立方内，且其形态与材质你必需曾经见过。
• 法术的持续时间由所创造物件的材质决定。如果所创造物件由多种材质组合而成，则其存在时间取其中最短者。
材质                       持续时间
植物质vegetable matter      1日
石质stone或水晶crystal      12小时
贵金属precious metals       1小时
宝石gems                    10分钟
精金adamantine或秘银mithral 1分钟
• 施展其他法术时，如果以这些创造物作为其材料成分将会使该法术施法失败。
• 升环施法效应：使用6环或更高法术位施展该法术时，你使用的法术位每比5环高一环，创造物尺寸的立方边长就加大5尺。</t>
  </si>
  <si>
    <t>• 黑暗力量的线从你的指尖延伸，刺穿了法术距离内最多5具你可见的小型Small或中型Medium的尸体。每具尸体都立即站起变为亡灵。你自由决定它是僵尸zombie或者骷髅skeleton（僵尸和骷髅的数据参考怪物手册），并且它们在攻击和伤害检定中得到等同你的施法属性调整值的加值。
• 你可以用你的附赠动作精神性地指挥你用该法术创造的生物，并对它们发出同样的命令。生物必须在你60尺内才能接受命令。你决定被操纵的生物下回合的动作和移动。或者，你可以下达宽泛的命令，例如守护某个房间或走廊。如果你不下达命令，生物只会保护自己对抗敌对生物。一旦被下达命令，生物会持续执行命令直到任务完成。
• 你对这些生物的控制持续到法术结束，在那之后它们立即变回无生命状态。
• 升环施法效应：当你使用6环或更高的法术位施放该法术时，使用的法术位每比5环高一环，你就可以活化额外的两具尸体。</t>
  </si>
  <si>
    <t>• 拂晓之光落在施法距离内你指定的地点，形成一道30尺半径、40尺高度的明亮光柱。这个光芒被视为阳光。
• 当光柱出现时，每个处于其中的生物都必须进行体质豁免，失败将受到4d10光耀伤害，成功则只承受一半。在光柱中结束回合的生物也必须再次进行这个豁免。
• 如果你在光柱60尺内，你可以在你的回合以一个附赠动作将它移动60尺。</t>
  </si>
  <si>
    <t>• 你击打地面，并从身上爆发出一阵神圣能量。30尺范围内每个你所指定的生物都必须进行一次体质豁免。豁免失败者将受到5d6点雷鸣伤害以及5d6点光耀或黯蚀伤害（由你选择）并应击倒地，豁免成功则伤害减半且不会应击倒地。</t>
  </si>
  <si>
    <t>• 发光的能量环绕着你，并保护你免受来自精类生物、不死生物和源于主物质位面外异域生物的伤害。天界生物、元素生物、精类生物、邪魔、不死生物对你发动攻击检定时具有劣势。
• 你可以通过以下方式提前终止此法术。
• 破除惑控 Break Enchantment：你使用动作触碰一个触及范围内的生物。如果该生物受天界生物、元素生物、精类生物、邪魔或不死生物影响而陷入魅惑、恐慌，或是被附身状态，则生物的这些状态即时结束。
• 驱逐 Dismissal：你使用动作发动一次近战法术攻击，攻击一个天界生物、元素生物、精类生物、邪魔或不死生物。命中时，你可以尝试将该生物驱逐回其原属位面。该生物必须成功通过一此魅力豁免，否则将强制返回其原属位面（若已在原属位面则无效）。比如精类生物会返回妖精荒野，不死生物会返回堕影冥界。</t>
  </si>
  <si>
    <t>• 你试图安抚一个施法距离内你能看见的类人生物，目标生物必须必须成功通过一次感知豁免，否则将在法术持续时间内被你魅惑。若它正与你或你的友方生物战斗，则其进行该豁免时具有优势。
• 目标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6环法术位施展该法术时，持续时间变为：专注，至多10分钟。使用7环法术位施展该法术时，持续时间变为：专注，至多1小时。使用8环或更高法术位施展该法术时，持续时间变为：专注，至多8小时。</t>
  </si>
  <si>
    <t>• 此法术将塑造一个生物的梦境。指定一个你已认知且与你同处一个位面的生物。那些不睡眠的生物（比如精灵），则不会被该法术影响。你或一个被你触碰的自愿生物，将作为信使进入出神状态。该状态下，信使能够意识到自己周围的状况，但是不能执行动作或进行移动。
• 如果目标正睡着，则信使可以进入其梦中并在其沉睡期间与之交流。信使可以在法术持续时间内在梦中创造景观、物件和其他影像。信使可以随时结束出神状态并提前终止法术效应。而目标在完全醒来后，可以回忆其梦境的内容。如果你施法时目标醒着，则信使可以了解到这点。此时信使可以终止出神和法术，或是等待目标入睡再进入其梦境。
• 你可以让信使以可怕的形象出现。但此时信使只能提供不超过十个单词的信息，而且目标必须成功通过一次感知豁免。豁免失败时，怪影萦绕的噩梦就会影响目标的睡眠，使其无法从休息中获益。并且在其醒来时受到3d6点心灵伤害。
• 如果你拥有目标身体的部分，比如头发，指甲或类似的东西。则目标进行该豁免时具有劣势。</t>
  </si>
  <si>
    <t>• 墨色的黑暗触须从你身上延伸，触碰法术距离内你可见的一个生物并汲取它的生命。目标必须进行敏捷豁免检定。若豁免成功，目标将受到2d8黯蚀伤害，随后法术结束。若豁免失败，目标受到4d8黯蚀伤害，并且直到法术结束之前，你在每个自己的回合都可以用你的动作对目标自动造成4d8黯蚀伤害。如果你使用你的动作来做其他任何事情，则法术即刻结束。此外，如果目标位于施法距离外或对你有全身掩护，法术同样会结束。
• 每次法术对目标造成伤害，你都可以恢复目标受到点黯蚀伤害量的一半生命值。
• 升环施法效应：当你使用6环或更高的法术位施放该法术时，使用的法术位每比5环高一环，伤害便增加1d8。</t>
  </si>
  <si>
    <t>• 你传送至60尺内一处你可见且未被占据的空间。在法术结束之前你的每个回合，你都可以用附赠动作再次通过这个方法传送。</t>
  </si>
  <si>
    <t>• 一支圣火立柱从天堂带着呼啸降落在你指定的一处地点。圣火以施法距离内指定点为源点形成一处半径10尺、高40尺柱状区域，其内的每个生物必须进行一次敏捷豁免。豁免失败者将受到4d6 点火焰伤害和4d6点光耀伤害，豁免成功则伤害减半。
• 升环施法效应：使用6环或更高法术位施展该法术时，你使用的法术位每比5环高一环，其火焰伤害或光耀伤害（自选其一）就增加1d6。</t>
  </si>
  <si>
    <t>• 你对施法距离内你能看见的一个生物置入一条魔法命令，并强迫其执行相应的某种服务或克制某种行为，甚至遵照你的要求行动。如果该生物可以理解你的意思，则它必须成功通过一次感知豁免，否则将在法术持续时间内被你魅惑。被魅惑生物每次作出与你的命令相悖的行为时，即受到5d10点心灵伤害。该伤害一日至多生效一次。且不能理解你意思的生物不受该法术影响。
• 除了涉及导致必死结果的行为外，你向目标下达的任何命令都会生效。如果你发布自杀指令则法术即时终止。
• 你可以用一个动作解除命令并终止法术。法术如移除诅咒 Remove Curse，高等复原术 Greater Restoration或祈愿术 Wish同样可以终止该法术。
• 升环施法效应：使用7环或8环法术位施展该法术时，持续时间变为1年。使用9环法术位施展该法术时，法术将一直持续至被上文提及的法术所终止。</t>
  </si>
  <si>
    <t>• 你为一个触碰到的生物灌注正能量来解除一项弱化效应。你可以使目标的力竭等级降低一级，或者选择终止目标身上的下列效应之一：
→一项影响目标的魅惑或石化效应
→一项诅咒，包括目标与一件被诅咒魔法物品的调谐
→对目标某项属性值的减损
→一项降低目标生命值上限的效应</t>
  </si>
  <si>
    <t>• 你触碰一点并将神圣（或邪秽）的力量注入该点周围。区域半径至多60尺，若此区域内包含了已被另一个圣居术影响的区域，则此次施法失败。受法术影响的区域具有以下效应。
• 首先，天界生物、元素生物、精类生物、邪魔和不死生物无法进入该区域，这些生物也不能对区域内的生物进行魅惑，恐慌或附身。任何被这些生物魅惑，恐慌或附身的生物只要进入该区域后将不再处于魅惑，恐慌或被附身的状态。你可以从上述生物类别中选择一种或更多，使之不受该效应影响。
• 其次，你可以为该区域绑定一种额外效应。从下列效应选项中选择其一，或从DM提供的效应中选择其一生效。其中某些影响区域内生物的效应可以被设定为影响所有生物，影响追随某特定神明或领袖的生物，或是只影响特定生物种类（例如兽人或巨魔）。当一个可受影响生物在一个回合里首次进入该区域，或是在区域内开始其回合时，它可以进行一次魅力豁免。豁免成功则该生物无视此额外效果直至其离开该区域。
• 勇气 Courage：区域内的受影响生物不受恐慌。
• 黑暗 Darkness：区域内处于黑暗环境，普通光源以及比本法术施展法术位更低环阶法术所创造的光源均无法照亮该区域。
• 昼明 Daylight：区域内处于明亮光照，比本法术施展法术位更低环节法术所创造的黑暗无法掩盖亮光。
• 能量防护 Energy Protection：区域内受影响生物对一种由你指定的伤害类型具有抗性，所选类型不包括钝击、穿刺和挥砍。
• 能量易伤 Energy Vulnerability：区域内的受影响生物对一种由你指定的伤害类型具有易伤，所选类型不包括钝击、穿刺和挥砍。
• 永恒安息 Everlasting Rest：区域内埋葬的尸体不能被转化成不死生物。
• 次元干涉 Extradimensional Interference：受影响生物不能通过传送，也不能通过异次元或跨位面途径作移动和旅行。
• 恐惧 Fear：区域内的受影响生物陷入恐慌。
• 沉默 Silence：声音无法从区域内发出，区域外的声音也不能传到区域内。
• 巧言 Tongues：受影响生物与区域内的任何其他生物即使语言不通也可以随意交流。</t>
  </si>
  <si>
    <t>• 指定施法距离内一个你能看见的生物。该目标必须进行一次感知豁免，豁免失败则其在法术持续时间内陷入麻痹。该效应对不死生物无效。目标在其每回合结束时可以再进行一次感知豁免，豁免成功则终止其身上该法术的效应。
• 升环施法效应：使用6环或更高法术位施展该法术时，你使用的法术位每比5环高一环，你就可以额外指定一个生物。指定目标时，每个目标生物必须身处其他目标30尺范围内。</t>
  </si>
  <si>
    <t>• 你为你触碰的武器注入神圣的力量。直到法术结束之前，武器都会发散出30尺半径的明亮光照和额外30尺的微光光照。此外，用这把武器击中时会造成额外2d8光耀伤害。武器在持续期间转变为魔法武器，如果原本它不是魔法武器。
• 在你自己的回合中，以一个附赠动作，你可以解散该法术并使武器爆发出强光。在你周围30尺内，每个由你选择的可见生物必须进行体质豁免检定。若豁免失败，生物将受到4d8光耀伤害，并且在1分钟内目盲。豁免成功将只承受一半伤害并不会目盲。在被目盲的生物每个回合结束时它都可以重新进行体质豁免检定，若成功将结束效果对自己的影响。</t>
  </si>
  <si>
    <t>• 火焰环绕了距离之内，你能看到的一个生物。该目标必须进行一次敏捷豁免检定。若豁免失败，其受到8d6点火焰伤害，豁免成功则只受到上述伤害的一半。若豁免失败，目标同时会在此法术的持续时间内被点燃。燃烧的目标会照亮周围30尺半径的区域，并在外围30尺范围内产生微光照明。在其每个回合的结束时，目标重复进行豁免检定。检定失败则受到4d6点火焰伤害。而豁免成功则刺法术终结。这些魔法火焰无法被非魔法的方式熄灭。
• 若此法术造成的伤害杀死了目标，目标化为灰烬。</t>
  </si>
  <si>
    <t>• 说出黑暗的咒语，你从九狱之中召唤来魔鬼。你选择挑战等级在6或更低的一种魔鬼的类型，例如猬魔Barbed Devils或须魔Bearded Devils。魔鬼出现在施法距离内你可以看见的一处未被占据的空间。魔鬼在生命值降低至0或法术结束时消失。
• 魔鬼对你和你的同伴是不友好的。你为魔鬼投掷先攻，并且它拥有自己的回合。它处于DM的控制之下并在它的每个回合依据本性来进行行动。如果它认为自己能取胜它有可能会攻击你，或者它会诱惑你承诺一个邪恶行为来交换它的有限服务。DM掌握这个生物的数据。
• 在你的每个回合中，你都可以尝试向魔鬼发出口头命令（不需要任何动作）。如果命令可能产生的结果与它的愿望一致，尤其是可能会让你走向邪恶，魔鬼会遵从命令。否则，你必须进行魅力（欺瞒、威吓或游说）检定对抗它的感知（洞悉）检定。如果你说出这个魔鬼的真名，你在这次检定中具有优势。如果你的检定失败，在法术余下的持续时间中魔鬼将免疫你的口头命令，虽然它仍旧可以选择执行。如果你的检定成功，魔鬼会执行你的命令直到完成，例如“攻击我的敌人”，“探索前面的房间”，或者是“将这个信息带给女王”。在那之后它返回向你报告自己已经完成。
• 如果你的专注在法术到达完整的持续时间之前中断，且魔鬼已经免疫了你的口头命令，那么它不会立即消失，而是在消失之前以它选择任何方式活动3d6分钟。
• 如果你拥有某个特定的魔鬼邪符，并且它的挑战等级在法术允许的适当范围+1里，你可以召唤那个魔鬼，它会遵从你的命令而你无需魅力检定。
• 升环施法效应：当你使用6环或更高的法术位施放该法术时，使用的法术位每比5环高一环，允许召唤的魔鬼挑战等级就+1。</t>
  </si>
  <si>
    <t>• 你指定施法距离内一点，并以该点为中心使半径20尺的球状区域内堆满成群的噬人蝗虫。虫群会绕过拐角扩散并使整个区域成为困难地形，且处于轻度遮蔽。虫群在法术终止前都会持续存在。
• 当虫群显现时，其区域内的每个生物都必须进行一次体质豁免，豁免失败则受到4d10点穿刺伤害，豁免成功则伤害减半。生物在一个回合内第一次进入该区域内，或者在区域内结束其回合时，也必须进行该豁免。
• 升环施法效应：使用6环或更高法术位施展该法术时，你使用的法术位每比6环高一环，伤害就增加1d10。</t>
  </si>
  <si>
    <t>• 点名或描述一个人物，或一处地点、一个物件。并用法术在你脑海中形成一段关于该事物重要传闻的简单概述。传闻可能是最近的流言，也可能是被遗忘的故事或不曾为人知晓的秘闻。如果该事物没有任何传奇事迹，则你不会获得任何信息。你掌握目标越多的信息，所得到的信息就越精确细致。
• 你由此得到的信息必定是准确的，但仍可能会以隐晦的话语表达。例如，如果你拿着一把神秘的魔法斧，则该法术可能会给你如下信息：“斧头嫉恶如仇，触碰其之邪恶者即受其苦痛惩戒，哪怕仅是光身斧柄也会反噬恶人之手。斧头的真正威力正在沉睡，唯有真正的石之子——那些爱慕着摩拉丁又被其眷恋之人在双唇咏出圣言鲁那格Rudnogg时才能将其唤醒。”</t>
  </si>
  <si>
    <t>• 大量的水出现在距离之内，你能看到的一点处，形成了5尺深、30尺半径的大漩涡。该点必须处于地面或者水体表面。直到法术终结，该区域成为困难地形，所有在该区域开始其回合的生物必须通过一次力量豁免检定，否则收到6d6点钝击伤害并被拉向中心10尺。</t>
  </si>
  <si>
    <t>• 一波治愈的能量从施法距离内你指定的一点奔涌而出。你在该点周边30尺半径的球状区域内指定至多六个生物，并使每个目标生物回复一定的生命值，其数值等于3d8＋你的施法关键属性调整值。该法术对不死生物和构装生物无效。
• 升环施法效应：使用6环或更高法术位施展该法术时，你使用的法术位每比5环高一环，其治疗量就增加1d8。</t>
  </si>
  <si>
    <t>• 你变为隐形，同时在你站的地方出现一个和你一样的幻象分身。分身会持续存在至法术持续时间结束；但如果你发动攻击或施展法术，则终止该隐形效应。
• 你可以用你的动作将分身以至多两倍于你的速度移动，并且可以让他打手势、说话，以及以任何你指定的方式行事。
• 你可以通过分身的眼睛视物，用分身的耳朵聆听，如同你处于它的位置一样。你可以在自己回合内以一个附赠动作在自己与分身的感官间切换。而当你使用分身的感官时，本体周边的事物对你而言等同于处于目盲且耳聋的状态。</t>
  </si>
  <si>
    <t>• 你尝试重塑另一个生物的记忆。迫使一个你能看见的生物进行一次感知豁免。如果你正与该生物战斗，则它进行该豁免时具有优势。豁免失败时，该生物会在法术持续时间内被你魅惑。被魅惑的目标陷入失能状态且无法感知周边的事物，但它仍然能听到你的声音。如果它受到任何伤害或者成为另一个法术的目标，则该法术终止且目标的记忆不会被修改。
• 该魅惑状态持续时，你可以改变目标关于过去24小时内经历的一个持续时间不超过十分钟的事件记忆。你可以永久地消除所有关于该事件的记忆，也可以让目标完美清晰地回忆起该事件的所有细节，甚至可以改变目标关于该事件记忆细节，或创造一段关于其他事情的记忆。
• 你必须通过话语来描述如何改变目标的记忆，并且目标必须能够听懂你的语言以便你植入被改变后的记忆。目标的意识会将你描述中所有缺失的细节填补完全。如果法术在你描述完被修改的记忆前就结束，则目标的记忆不会被改变，否则修改过的记忆会在法术终止时根植于目标心中。
• 修改过的记忆不一定会影响生物的行为，特别是当修改后的记忆违背了目标的天性，阵营或信仰时。如果植入一段不合逻辑的记忆（例如你灌输给目标关于它有多么享受在强酸中泡澡的记忆），则目标会直接忽视该记忆，或者将其视为自己作的一场噩梦。DM也可以判定某段修改过的记忆太过荒谬，而无法影响生物的关键行为。
• 对目标施展法术移除诅咒 Remove Curse或高等复原术 Greater Restoration后即可使目标恢复真实的记忆。
• 升环施法效应：使用6环或更高法术位施展该法术时，你可以改变目标关于过去7日内（6环）、30日内（7环）、1年内（8环）或者在过去任意时刻（9环）所发生事件的记忆。</t>
  </si>
  <si>
    <t>• 你向距离内一个可见生物发出丝带状的负能量。如果目标不是不死生物，他必须进行一次体质豁免检定，并在豁免失败时受到5d12点黯蚀伤害，若豁免成功则只承受一半。被这个伤害杀死的目标将在你的下回合开始被唤起为一只僵尸zombie。僵尸会追杀距离他最近的、他可以看见的任何生物。僵尸的数据参考怪物图鉴。
• 如果你以不死生物作为目标使用该法术，目标不需要进行豁免检定，取而代之的是目标得到5d12的一半作为临时生命。</t>
  </si>
  <si>
    <t>• 你指定施法距离内你能看见的表面上一点，并使该处在法术终止前持续显现一条通道。所选表面必须属于木质，灰质或石质（比如墙，屋顶或地面）。而开口的大小则由你指定：其尺寸至多5尺宽，8尺高，20尺深。另外，该通道并不会使其周围结构产生不稳定。
• 开口消失时，任何还留在该通道中的生物或物件都会被安全的弹至距受术表面最近的未占据空间。</t>
  </si>
  <si>
    <t>• 你尝试以该法术与一个生物建立誓约使其为你服务，该生物可以是天界生物、元素生物、精类或邪魔。该生物在整个施法过程中必须在法术的施法距离内。典型的情况下，在施展该法术前，生物会先被召唤到一个反向作用的防护法阵 Magic Circle中困住。施法完成后，目标必须进行一次魅力豁免。豁免失败则目标在法术持续时间内与你建立誓约并服务于你。如果该生物由其他法术所召唤或创造，则维持其存在的法术持续时间被延长至符合本法术的持续时间。
• 一个已建立誓约的生物必须尽其最大的能力遵从你的指示。你可以命令该生物在你冒险时陪伴你，或守卫一个地点，又或者传递一个信息。该生物将遵从你所下达指示的字面意义，但是如果此生物与你敌对，则它会努力曲解你的字面意思来达到它自己的目标。如果生物在法术终止前全部完成了你的指示而你们仍处于同一位面时，则它会到你面前向你汇报。如果你们处与不同位面，则它会回到其建立誓约之地，并呆停留该处直至法术终止。
• 升环施法效应：使用6环法术位施展该法术时，法术持续时间增为10日，7环则增为30日，8环为180日，9环为一年零一日。</t>
  </si>
  <si>
    <t>• 你触碰一个已死的生物，使其复活。该生物的死亡时间必须不超过10日。如果该生物的灵魂愿意并且能够回到其身体中，则它将以1点生命值重生。该法术同样会中和该生物生前体内的毒素以及罹患的非魔法疾病，但对于魔法造成的疾病、诅咒和类似的效应则无能为力；如果没有在复活前治愈这些效应，则它们在该生物重获生命的时候继续生效。该法术不能复活不死生物。
• 该法术能治愈所有致命伤，但无法恢复失去的身体部位。如果该生物缺失了它生存所必要的身体部位或器官（比如头），则该法术自动失败。
• 死而复生是一个痛苦的体验。复活的目标在随后进行攻击检定、豁免检定和属性检定时具有－4减值。该目标每完成一次长休，其减值就减少1，依次叠加直至减值完全消失。</t>
  </si>
  <si>
    <t>• 你与施法距离内至多八个自愿生物建立心灵连线。在法术持续时间内，连线的每个生物的心灵都和其他全部受术生物相连。智力值为2或更低的生物不受该法术影响。
• 在该法术终止前，所有受术生物都可以通过心灵连线与其他受术生物进行心灵交流，而不论他们是否语言相通。该交流方式可以跨越任意远近的距离但不能跨位面进行。</t>
  </si>
  <si>
    <t>• 你触碰一个类人生物的遗体或遗体的一部分，以此创造出一具新的成年身体，并呼唤该生物的灵魂进入此新身躯。该生物死亡时间必须不超过10日。此外，如果目标生物的灵魂此时不能或者不愿意完成该过程，则法术失败。
• 该法术要为目标生物创造出一具新的身体，因此很可能导致该生物的种族发生变动。DM可以投一个d100来判定该生物以何种形态复生，也可以直接由DM选择一种形态。
d100  种族
01~04 龙裔
05~13 丘陵矮人
14~21 山地矮人
22~25 黑暗精灵
26~34 高等精灵
35~42 木精灵
43~46 林侏儒
47~52 岩侏儒
53~56 半精灵
57~60 半兽人
61~68 轻足半身人
69~76 强魄半身人
77~96 人类
97~00 提夫林
• 转生后的生物保留其前生记忆和经验。受术者保留原形的一切能力，不过其种族特性将以新种族的相应特性做更替。</t>
  </si>
  <si>
    <t>• 你能看见和听见一个和你处于同一存在位面上的生物。目标生物必须进行一次感知豁免；该豁免的调整值与你对目标的了解程度有关，也与你和目标之间的物理联系程度有关。如果目标知道你在施展该法术，而它又愿意被你观察，则它可以自愿放弃该豁免。
了解程度                      豁免调整值
二手信息（你曾经听说过受术者） +5
直接信息（你曾经见过受术者）   +0
熟悉（你对受术者很了解）       -5
联系程度                      豁免调整值
肖像或图像                     -2
所有物或衣物                   -4
身体部位，头发，指甲或类似物件 -10
• 如果对方豁免成功，则目标不受该法术影响，并且在24小时内你不能尝试探知同一个目标。如果对方豁免失败，则你在目标身边10尺内创造出一个隐形的传感器。通过传感器，你可以身临其境地看见和听见周围的环境。传感器会跟随目标移动，并在法术持续时间内始终保持在目标10尺之内。在能够看破隐形的生物眼中，你的探传感器是
一个拳头大小的光球。
• 除生物之外，你也可以选择一个你以前见过的地点作为该法术的目标。这时，传感器会出现在目标地点且不会移动。</t>
  </si>
  <si>
    <t>• 该法术允许你修改施法距离内你能看见的任意数量生物的外观。你对指定的每个目标生物分别赋予一个虚假的新外貌。不愿意受该法术影响的目标可以进行一次魅力豁免，豁免成功则不受该法术影响。
• 该法术能改变生物的物理外观，也能伪装出服装、护甲、武器和装备。肉眼看来目标的身高可以有1尺的增减，体态可胖可瘦可匀称。但是你不能改变身体的形状，所以目标变形的样子必须有四肢或类似的生理结构。此外，你可以随意改变其他的外观特征。该法术一直持续至持续时间结束，不过你可以用一个动作提前将其解除。
• 此法术产生的变化无法应对物理检查。比如，你用此法术添了一顶帽子，那么现实物件会穿过帽子，且触碰帽子的人会摸不到任何东西或摸到的是目标的头和头发。若你用该法术让目标变得消瘦，别人用手触碰该目标时，看起来就像用手摸着空气。
• 一个生物可以使用其动作仔细观察一个目标，并进行一次对抗法术豁免DC的智力（调查）检定以。检定成功则观察者将一时到目标进行了伪装。</t>
  </si>
  <si>
    <t>• 你的魔法加深了生物对自己才华的理解。你触碰一个自愿生物，并给予它你选择的一项技能的专精；直到法术结束之前，生物每次在使用选择的技能进行属性检定时都可以将它的熟练值加倍。
• 你所选择的技能必须是目标已经熟练的并且没有受益于其他类似将熟练值加倍的效果，例如专精Expertise。</t>
  </si>
  <si>
    <t>• 你舞动用于施法的武器，随后忽然消失并发起袭击，恰如同一阵钢铁的疾风。选择施法距离内最多5个可见生物。进行一次近战法术攻击检定对抗每个生物。若击中，每个目标承受6d10力场伤害。
• 在这之后，你可以传送到一个你击中或未击中的生物周围5尺内，你可以看见的未被占据的空间。</t>
  </si>
  <si>
    <t>• 你从上层位面召来一个灵魄。此灵魄在施法距离内你可见的一个未占据位置化为实体。这一实体使用下面的天界灵魄Celestial Spirit的数据。当你施展法术时，从复仇圣灵Avenger或守护圣灵Defender中选择一个。此生物资料表中的攻击方式由你的选择决定。当其生命值降到0或法术结束时，生物消失。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升环施法效应：使用6环或更高法术位施展该法术时，该生物数据中使用更高的法术环阶。
天界灵魄 Celestial Spirit
大型天界生物
AC：11+法术环阶 (天生护甲)+2（仅限守护圣灵）
HP：40+10每比5环高的法术环阶
速度：30尺，飞行40尺
力量16（+3）  敏捷14（+2）  体质16（+3）
智力10（+0)   感知14（+2）  魅力16（+3）
伤害抗性：光耀
状态免疫：魅惑，恐慌
感官：黑暗视觉60尺，被动察觉12
语言：天界语，懂你说的语言
挑战等级：—
熟练加值：与你相等
动作
多重攻击Multiattack。天界生物发动等同于法术环阶一半的次数的攻击（向下取整）。
光耀之弓Radiant Bow（仅限复仇圣灵）。远程武器攻击：命中+你的法术攻击调整值，射程150/600尺，单一目标。伤害：2d6+2+法术环阶点光耀伤害。
光耀之锤Radiant Mace（仅限守护圣灵）。近战武器攻击：命中+你的法术攻击调整值，触及5尺，单一目标。伤害：1d10+3+法术环阶点光耀伤害，且天界生物可选择自己或其10尺内可见的另一生物。选定生物获得1d10点临时生命值。
治愈之触Healing Touch（1/日）。天界生物触碰另一生物。目标魔法性地恢复目标等同于2d8+法术环阶点生命值。</t>
  </si>
  <si>
    <t>• 你对箭袋施展该法术，使其可以凭空创造出无尽的非魔法弹药，而你只要把手伸进箭袋里就会有弹药自己跳到你的手中。
• 直至法术结束前，你的每一回合都可以用一个附赠动作发动两次攻击，但用以发动攻击的武器必须使用受术箭袋中的弹药。你每次完成这种攻击时，箭袋上的魔法便会自动创造出一发同样的非魔法弹药作为补充。法术终止时，该法术创造出来的所有弹药都将自行分解消失。当你不再持有该箭袋时，该法术也即刻终止。</t>
  </si>
  <si>
    <t>• 你选择距离内的一点，并在那里引发心灵能量的爆炸。以那一点为圆形，20尺半径球形范围内的每个生物必须进行一次智力豁免检定。智力值为2或更低的生物不受该法术的影响。豁免失败的生物受到8d6心灵伤害，成功则只承受一半。
• 豁免失败生物的思想会在1分钟内变得混乱。在持续时间中，投掷一个d6，每次它进行攻击检定、属性检定和因为维持专注进行体质豁免检定时，它都要从结果上减去这个数值。在目标的每个回合结束它都可以重新进行智力豁免检定，若成功将结束这个效果对自己的影响。</t>
  </si>
  <si>
    <t>• 你获得以意念移动操纵生物或物件的能力。施展该法术时，你可以对施法距离内一个你能看见的生物或物件以你的意念造成下列详述的效应。你也可以在随后法术持续时间内的自己的任一回合里以一个动作实现该行为。你可以一轮接一轮地影响同一个目标，也可以在任何时候选择一个新的目标。如果你改变了目标，则之前的目标将不再受该法术影响。
• 生物 Creature：你可以尝试移动一个巨型或更小的生物。以你的施法关键属性进行一次属性检定，并与目标生物的力量检定进行对抗。如果你在对抗中胜出，则你可以使该生物朝任何方向（包括竖直向上）移动30尺，但不能让它离开施法距离。在你的下一回合结束前，该生物将被你的遥控抓握束缚。而被朝正上方抬起的生物会在半空中悬停。
  在随后的回合中，你可以再次进行前面进行过的对抗来尝试继续抓住该生物（消耗一个动作）。
• 物件 Object：你可以尝试移动一个重量不超过1000磅的物件。如果该物品没有被任何生物所着装或携带，则你可以自动使它朝任何方向移动30尺，但不能让它离开施法距离。
  如果该物件已被着装或携带，则你必须以你的施法关键属性进行一次属性检定，并与该生物的力量检定进行对抗。如果你在对抗中胜出，则你可以把目标物件从该生物身上拿走，并且使该物体朝任意方向移动30尺（但不能让它离开施法距离）。
• 你可以使用心灵遥控来对物体进行精密操作，例如操纵一件简单的工具，打开一扇门或一个容器，把东西放进或拿出一个打开的容器中，或是把一个小瓶子里的东西倒出来。</t>
  </si>
  <si>
    <t>• 施展该法术时，你在地上画出一个直径十尺的圆圈，并在其周围画出符文。这个圆形法阵将你所处的位置与你选择的一个与你处在同个位面上的永久传送法阵相连（你必须知道该法阵的符文序列）。圆圈中将打开一个发光的传送门，并一直维持到你的下一回合结束。任何进入传送门的生物将立即出现在目标法阵附近5尺内（如果该空间已被占据，则出现在最靠近目标法阵的未被占据空间）。
• 许多神殿、公会和其他重要的场所都在其中某处设有永久的传送法阵。这种法阵各有自己的符文序列——按特定顺序排列的一串魔法符文。当你最初获得施放该法术的能力时，你会知道物质位面上两个永久法阵的符文序列（由DM决定），随后你还可以在旅途中习得更多的符文序列。你只要花一分钟仔细研究一个新的符文序列就能够将其记录下来。
• 当你在一年里对同一地点每日连续施展该法术后，将创造出一个永久的传送法阵。而你在如此创造法阵时并不需要使用该法阵进行传送。</t>
  </si>
  <si>
    <t>• 你以触发法术的生物为目标, 其必须通过一个成功的感知豁免，否则就会消失，被驱逐到时间流的另一个时间点上并导致攻击失手或法术浪费。在目标生物的下个回合开始时，目标重新出现在他刚刚的位置或最近一处未被占据的空间。目标不记得你施展了该法术或自己被该法术影响。
• 升环施法效应：当你使用6环或更高环位的法术位施展该法术时，每比5环高出一环的法术位可以使你多指定一个目标。但所有的目标都需要在互相的30尺内。</t>
  </si>
  <si>
    <t>• 你选定距离内，你能看到的，不超过40立方尺区域内的岩石或泥土，并选择下述效果之一。
• 化石为泥Transmute Rock to Mud：该区域内任何种类的非魔法石块在法术的持续时间内变成等量的稀薄、可流动的泥浆。
  若你将法术施放在一处区域或地表，其将变得足够瘫软，足以令生物陷入其中。生物穿过泥浆的每尺均消耗4尺的移动力，而在你施法时处于该区域内的生物需要进行一次力量豁免检定。若一个生物在一个回合内第一次进入此区域，或在此区域内结束其回合，其也需要进行此豁免检定。若豁免失败，其将没入泥浆并被束缚，虽然他可以以一个动作来把自己拽出泥浆以结束束缚。
  若你对天花板施放此法术，泥浆会掉落。在泥浆掉落时处于其下方的所有生物必须进行一次敏捷豁免检定。若检定失败则该生物受到4d8点钝击伤害，检定成功者只受到上述伤害的一半。
• 化泥为石Transmute Mud to Rock：在法术的持续时间内，区域内不超过10尺深的非魔法泥土或流沙变为柔软的岩石。在变化的泥土中的生物需要进行一次敏捷豁免检定。若豁免成功，该生物安全的移动到未被占据的一处地表上。若豁免失败，该生物被岩石所束缚。被束缚的生物、或者是其他可以触及到它的生物，可以使用一个动作以试图通过一次力量检定（DC20）来令其脱困。岩石拥有15AC和25点生命值，并且免疫毒素和心灵伤害。</t>
  </si>
  <si>
    <t>• 你能够进入树木中，并从树木内部移动到500尺内的一棵同类树木内。两棵树必须都是活的，而且至少要和你一样大。你进入一棵树时必须消耗5尺移动力。你将在进入树木后知道附近500尺内所有同类树木的位置。作为进入树木所用移动的一部分，你可以移动到这些同类树木的其中一棵，或走出你所在的树木。你会出现在作为目的地的树木5尺范围内自选的一点，并因此消耗5尺移动力。如果你的移动力已经耗尽，则你将出现在你进入的树木周围5尺范围内某处。
• 你可以在法术持续时间内的每轮里使用一次这样的传送能力。而且你必须在树外结束你的回合。</t>
  </si>
  <si>
    <t>• 明亮的、闪光的墙壁在施法距离内你选择的一点出现。这面光墙的方向由你决定：你可以使墙成为水平或垂直的结界，亦可以使它成一定倾角。它可以浮在空中，也可以立于坚实的表面上。墙壁的长度至多60尺，高度至多10尺，厚度至多5尺。墙会阻挡视线，但是生物和物体可以穿过它。它发出120尺的明亮照明和额外120尺的微光照明。
• 当光墙出现时，在那个区域里的每个生物都必须进行体质豁免检定。若豁免失败，生物受到4d8光耀伤害，并且目盲1分钟。若豁免成功，它只承受一半伤害并且不会被目盲。一个被目盲的生物可以在它的每个回合结束时重新进行体质豁免检定，若成功则结束对自己的目盲效果。在墙壁区域内结束回合的生物也会受到4d8光耀伤害。
• 直到法术结束之前，你可以使用你的动作从墙上发射出一条光辉射线，袭击它60尺内的一个你可以看见的生物。进行一次远程法术攻击检定。若击中，目标承受4d8光耀伤害。无论击中或失手，墙壁的长度都会被减少10尺。如果墙壁的长度被降低至0尺，法术结束。
• 升环施法效应：当你使用6环或更高的法术位施放该法术时，使用的法术位每比5环高一环，伤害便增加1d8。</t>
  </si>
  <si>
    <t>• 你唤醒自然界的精魂对抗你的敌人。选择施法距离内你可见的一点，精魂令那一点为中心60尺立方区域内的树木、岩石和草丛被活化，直到法术结束。
• 草丛和灌木Grasses and Undergrowth：立方区域内被草丛或灌木覆盖的地面对你的敌人而言是困难地形。
• 树木Trees：在你的每个回合开始，在立方区域内的任何树木周围10尺范围内的每个你的敌人都必须成功进行敏捷豁免检定，否则会因为树枝的挥打受到4d6挥砍伤害。
• 根与藤Roots and Vines：在你的每个回合结束时，立方区域内站于地面上的一个你选择的生物必须成功进行力量豁免检定，否则会被束缚直到法术结束。被束缚的生物可以使用它的动作来进行一次力量（运动）检定对抗你的施法DC，如果成功将会结束这个效果对自己的影响。
• 投石Rocks：在你的回合中以一个附赠动作，你可以使一块立方区域中的松动岩石投掷向同样在区域里的一个你可见的生物。若击中，目标受到3d8非魔法钝击伤害，并且必须成功进行力量豁免检定否则应击倒地。</t>
  </si>
  <si>
    <t>• 你召唤出一只龙类精魄。它于施法范围内一处未被占据的空间显现。其肉体形态使用龙类精魄的数据。当你施展此法术时，选择一个龙种科目：色彩龙，宝石龙，或金属龙。该生物的长相与你所选择的龙种相似，这会决定其数据中的某些特性。该生物在法术结束或其生命值降至0时消失。
• 该生物对你和你的同伴友善。在战斗中，该生物与你共享先攻，它在你的回合结束后行动。它听从你的口头命令（无需动作）。如果你不发出指令，该生物执行回避动作，并用自己的移动力来回避危险。
• 升环施法效应：当你用6环或更高的法术位施展该法术时，用对应的环阶决定数据栏中与法术环阶有关的数据。
龙类精魂Draconic Spirit
大型龙类，绝对中立
护甲等级：14+法术环阶（天生护甲）
生命值：50+10每比五环高的法术环阶（拥有和法术环阶相等的d10生命骰）
速度 30尺，飞行60尺，游泳30尺
力量19（+4）  敏捷14（+2）  体质17（+3）
智力10（+0)   感知14（+2）  魅力14（+2）
伤害抗性（仅色彩龙与金属龙）：强酸，寒冷，火焰，闪电，毒素
伤害抗性（仅宝石龙）：力场，黯蚀，心灵，光耀，雷鸣
状态免疫：魅惑，恐慌，中毒
感官：盲视30尺，黑暗视觉60尺，被动察觉12
语言：龙语，理解所有你能说的语言
挑战等级 — 
熟练加值：等于你的熟练加值
分享抗性Share Resistances。当你召唤龙时，选择一种它具有的伤害抗性，直至法术结束，你获得该伤害抗性。
动作
多重攻击Multiattack.。龙使用它的吐息武器，并进行一定次数的啃抓攻击，等同于法术环阶的一半（向下取整）。
啃抓Rend。近战武器攻击：命中等同于你的法术攻击命中，触及10尺，单一目标。伤害：1d6+4+法术环阶的穿刺伤害。
吐息武器Breath Weapon。龙吐出一道色彩斑斓的能量并覆盖30尺锥形区域。区域内的每个生物必须进行一次敏捷豁免，否则受到2d6点伤害，伤害类型由你在龙所具有抗性的伤害类型中选择。成功则伤害减半。</t>
  </si>
  <si>
    <t>• 持握用于施法成分的那根权杖并触碰一个不超过大型、未被占据的座椅。水晶权杖消失，且这个座椅被转变为法驱魔舵 。</t>
  </si>
  <si>
    <t>• 你创造两个相连的传送门。指定地面上你能看见的两点，一点在你身边10尺内，另一点则在500尺内。随后，10尺直径的圆形传送门将分别在两点打开。如果你选择的点被生物占据，则法术失败且被消耗。
• 传送门边缘为闪烁的二维环形，其内布满迷雾，且整个垂直的悬浮在离地几尺处。环形只有一面可见（由你选择），那一面即是传送门生效的一面。
• 任何进入其中一个传送门的生物将从另一个传送门走出，如同两个传送门邻接一样。从传送门不生效的那一面走过则不会有任何效果。门中满布的迷雾阻挡了视线因此无法看到任何影像。你可以在自己的回合里使用一个附赠动作改变传送门的朝向。</t>
  </si>
  <si>
    <t>• 你立起一道由旋转的魔法利刃组成的墙。墙壁出现在施法距离内一个你指定的位置，并维持到法术持续时间结束。你可以选择创造长不过100尺、高不过20尺、厚不过5尺的直墙；或是直径不过60尺、高不过20尺、厚不过5尺的环形墙。墙为位于其后方的生物提供四分之三掩护。而墙体所占据的空间则视为困难地形。
• 任何生物在一个回合内第一次进入墙体区域，或者在区域内开始其回合时，必须进行一次敏捷豁免。豁免失败者将受到6d10点挥砍伤害。豁免成功则伤害减半。</t>
  </si>
  <si>
    <t>• 你令距离内你能看见的地面处升起六根石柱。每根石柱为直径5尺，高度至多30尺的圆柱。升起石柱的地表必须具有足以容纳其直径的空间，你可以以一个体型不超过中型的生物的脚下作为目标。每根石柱的AC为5，具有30点生命值。当其生命值被降为0时，石柱将变为碎石，在10尺半径的区域内形成一片困难地形的区域。每块5尺直径的碎石区域都需要至少1分钟来手动清理。
• 若一根石柱在一个生物的脚下升起，该生物必须进行一次敏捷豁免检定，否则会被石柱顶起。生物可以选择在此豁免中失败。
• 若一根石柱因为天花板或其他障碍未能达到其最大高度，在石柱上的生物受到6d6点钝击伤害，并被束缚，在石柱与障碍物间动弹不得。被束缚的生物可以以一个动作来进行一次力量或敏捷检定（由该生物选择），对抗此法术的豁免检定DC。若成功，该生物不再被束缚，必须选择从石柱上移动下来或摔落下来。
• 升环施法效应：当你使用7环或更高的法术位施放该法术时，使用的法术位每比6环高一环，你便能额外升起两根石柱。</t>
  </si>
  <si>
    <t>• 你放出一道闪电，射向施法距离内某个你能看见的指定目标。经过首个目标后，闪电分成三束跳向该目标30尺内至多3个其他目标。闪电的目标可以是生物或物件，但每束闪电必须指定不同的目标。
• 每个目标必须进行一次敏捷豁免。豁免失败者将受到10d8点闪电伤害，豁免成功则伤害减半。
• 升环施法效应：使用7环或更高法术位施展该法术时，你使用的法术位每比6环高一环，跳跃后闪电就多分出一束射向一个不同的目标。</t>
  </si>
  <si>
    <t>• 一阵负能量波从施法距离内某点放出，冲击60尺半径的球状区域。区域内的生物必须进行一次体质豁免。豁免失败者将受到8d6点黯蚀伤害，豁免成功则伤害减半。
• 升环施法效应：使用7环或更高法术位施展该法术时，你使用的法术位每比6环高一环，法术的伤害就增加2d6。</t>
  </si>
  <si>
    <t>• 你召唤一个挑战等级6或更低的精类生物，或者一个挑战等级6或更低的野兽形态精魂。被召唤生物显现在施法距离内一处你能看见且未被占据的空间。该精类生物在生命值降至0时，或者法术终止时消失不见。
• 被召唤的精类生物对你和你的伙伴保持友善关系。你为每次召唤出来的精类生物掷先攻权，并依此获得其自己的行动回合。该精类生物服从你发出的所有语言命令（不需要你作动作），前提是该命令必须不违反其所属阵营。如果你不发出任何命令，该生物会在敌对生物前保护自己，如果没有敌对生物则不执行任何动作。
• 如果你的专注被打断，该精类生物并不会因此消失不见，但你会因此失去该生物的控制权。失去控制的精类生物对你和你的伙伴变为敌对，并随时准备发动攻击。不受控的精类生物无法被你解散，并在你的召唤开始算起1小时后消失不见。
• 该精类生物的具体数值由DM掌控。
• 升环施法效应：使用7环或更高法术位施展该法术时，你使用的法术位每比6环高一环，召唤生物挑战等级就增加1。</t>
  </si>
  <si>
    <t>• 说出复杂咒语的同时，你用一把镶嵌宝石的匕首刺穿自己，并受到不能被任何方式降低的2d4穿刺伤害。随后你将血液滴落在法术的其他成分上并接触它们，将它们转变为一种名为造妖Homunculus的特殊构装体。
• 造妖的数据参见怪物手册。它是你的忠实伙伴，并且会随着你死亡。每次你完成一次长休，并且此时若造妖与你处于同一位面，你可以选择花费最多一半的生命骰，投掷每个骰子并加上你的体质调整值，之后你的最大生命值降低数字的总和，并且造妖的最大生命值和当前生命值都提升这个数字。这个过程可以让你的生命值降至不低于1点。你和造妖的生命值变化会在你完成下一次长休时还原，在那之前你的最大生命降低效果不能被移除，除非你的造妖死亡。
• 同一时间你只能拥有一只造妖。如果你在你的造妖还存活时施展，法术将会失败。</t>
  </si>
  <si>
    <t>• 在施法距离内指定至多三具中型或小型类人生物遗体，并使每具受术尸体变成一只受你控制的食尸鬼 ghoul（这些生物的具体游戏资料由DM掌控）。该法术只能在夜晚施展。
• 在你的任一回合内，你可以使用一个附赠动作并以精神命令操纵120尺内任何你用此法术唤起的生物（如果你操纵多个生物，则你的命令可以同时传达给它们全部或是其中的某几个，不过只能使用同一种命令）。你决定被操纵的生物下回合的动作和移动。或者，你也可以选择下达宽泛的命令，例如守护某个房间或走廊。没有接受到你命令的生物则只会对敌对生物作出自卫的行为。一旦被下达命令，该生物会持续执行命令直到任务完成。
• 被操纵的生物只会在24小时内服从你的命令。如果你在当前的24小时时间段终止前再次施展此法术，则你对该生物的操纵时间再延长24小时。法术的此种用法只能延长你对至多三个你使用此法术所创造生物的控制时间，而不会创造新的生物。
• 升环施法效应：使用7环法术位施展该法术时，你可以唤起或者维持四只食尸鬼。使用8环法术位施展该法术时，你可以唤起或维持五只食尸鬼，或者两只妖鬼，或者两个尸妖。当你使用9环法术位施展该法术时，你可以唤起或维持六只食尸鬼，或者三只妖鬼，或者三个尸妖，或者两个木乃伊。</t>
  </si>
  <si>
    <t>• 一束纤细的绿射线从你的指尖射向施法距离内一个你能看见的目标。该目标可以是一个生物或一个物件，或者是一个魔法力场（比如由力场墙 Wall of Force创造的墙壁）。
• 目标生物必须进行一次敏捷豁免，豁免失败则受10d6+40点力场伤害，如果目标生命值因此降至0，则目标被解离。
• 除魔法物品外，被解离的生物连同其穿着携带的所有随身物品一起变成一堆灰尘。此后该生物只能通过完全复生术 True Resurrection和祈愿术 Wish复活。
• 此法术会直接解离大型或更小的非魔法物件或魔法力场。如果目标是巨型或更大的物件或魔法力场，则此法术会解离其10尺立方大小的部分。魔法物品不受此法术影响。
• 升环施法效应：使用7环或更高法术位施展该法术时，你使用的法术位每比6环高一环，伤害就提高3d6。</t>
  </si>
  <si>
    <t>• 你触碰一个重量至多10磅，长度至多6尺的物件。该法术将在该物品表面留下一个隐形的印记，并在你用以施法的蓝宝石上留下该物件的名称。你每次施展该法术时都必须使用不同的蓝宝石作为其材料成分。
• 在随后的时间里，你可以使用动作唤出该物件的名称并粉碎这颗蓝宝石，该物件将无视任何距离和位面的限制立即出现在你的手上。物件出现后该随即法术终止。
• 如果另一个生物正持握或携带着该物件，则粉碎蓝宝石的动作无法将该物品传送过来。不过你会知晓是谁占有了该物品，以及其此刻身处的何处。
• 解除魔法Dispel Magic或成功生效的类似效应作用于这颗蓝宝石时，将提前终止该法术。</t>
  </si>
  <si>
    <t>• 你呼唤自然之灵来守护一块户外区域或者是地底。这片区域最小为边长30尺的立方体，最大则可达边长90尺的立方体。建筑物和其他构造物会被排除在受影响区域外。如果你在一年内每天对同一区域施展该法术，法术将持续到被解除。
• 法术将在区域内产生如下效果。当你施展该法术时，你可以指定生物作为友伴免疫这些效果。你也可以指定一个口令，大声说出口令的人也同样免疫这些效果。
• 整个被保护的区域都辐射着魔法。一道在区域内施展的解除魔法法术若成功，将只移除以下效果之一，而非整块区域。法术的施法者可以选择一个效果结束。只有当所有效果结束时法术才会被解除。
• 重雾Solid Fog：你可以在地面上分布厚雾填充任意数量的5尺方格，使其处于重度隐蔽之下。雾气高达10尺。在穿过雾气时每移动1尺就要花费额外2尺的移动力。在免疫这个效果的生物眼中，雾气什么也不会掩盖，并且看起来像是漂浮在空气中的绿色光点。
• 纠缠灌木Grasping Undergrowth：你可以在没有被填充雾气的地面上分布纠缠的藤蔓和杂草填充任意数量的5尺方格，如同它们受到了纠缠术Entangle的影响。对免疫这个效果的生物而言这些野草和藤蔓都是柔软的，甚至可以重塑形态成为临时的座椅和床铺。
• 林地守卫Grove Guardians：你可以活化区域内最多四棵树木，使它们从地面上拔根而起。这些树木与怪物手册中的启蒙树Awakened tree有相同的数据，除了它们不会说话，并且在它们的表皮上覆盖着德鲁伊符记。如果有任何不免疫这个效果的生物进入被保护的区域，林地守卫会与它们战斗直到入侵者被赶走或被杀死。林地守卫也遵从你在这个区域内发布的口头命令（无需你的动作）。如果你没有给它们命令也没有入侵者，林地守卫不会行动。林地守卫不能从被保护的区域离开。在法术结束时，驱动它们的魔法也会消失，它们会重新生根（如果可能的话）。
• 额外法术效果Additional Spell Effect：你可以从以下魔法效果中选择其一放置在被保护的区域。
• 在你选择的两个位置布置持续的造风术Gust of Wind效果。
• 在你选择的一个位置布置荆棘丛生Spike Growth效果。
• 在你选择的两个位置布置风墙术Wall of Wind效果。
• 对免疫这个效果的生物而言，风是带着芳香的微风，而布置荆棘丛生的区域是无害的。</t>
  </si>
  <si>
    <t>• 在法术持续时间内，你的眼睛变成充满恐怖力量的漆黑空洞。指定一个60尺内你能看见的生物，并迫使其进行一次感知豁免，豁免失败者将承受下列效应之一（由你选择）。在法术终止前的每个自己回合，你都可以使用动作来指定一个目标。不过不能指定那些已经成功通过该豁免的生物。
• 沉睡 Asleep：目标陷入昏迷。其在受到伤害，或另一个生物使用动作摇晃它时，即可再次醒来。
• 惊慌 Panicked：目标因你而恐慌，它必须在每个其自己回合里执行疾走 Dash 动作并移动，且以最短、最安全的路径尽可能的逃离你，直至其无路可逃为止。如果目标移至离你60尺远且看不见你的地方，则法术效应终止。
• 患病 Sickened：目标发动攻击检定和进行能力检定时具有劣势。目标在每个其自己回合结束时都可以进行另一个感知豁免，豁免成功则该效应终止。</t>
  </si>
  <si>
    <t>• 该法术可以搜寻同一位面的另一处你熟悉的特定地点，法术会找出通往该处最短、最直接的道路。如果你寻找的目的地在另一位面，或者其会不断移动（例如一座移动堡垒），或者描述不够具体（例如一个“绿龙的巢穴”），该法术失效。
• 你在法术持续时间内只要和目的地在同一位面，就知晓目的地的远近和所在方向。向目的地移动并遇到岔路时，你会本能的选择通往目的地最近、最直接的路（但不一定最安全）。</t>
  </si>
  <si>
    <t>• 你尝试将施法距离内一个你能看见的生物变为石头。如果该目标的身体由血肉组成，则其必须进行一次体质豁免。豁免失败者的肉体将变得生硬并因此而受到束缚。豁免成功者将不受该效应的影响。
• 因该法术受束缚的生物必须在其每回合结束时再进行一次体质豁免。在累计三次豁免成功后，该法术终止。在累计三次豁免失败后，该生物变为石头并在持续时间内视为陷入石化状态。成功或失败的检定不需要连续；只要记录各情况的次数直至其中一方累计三次为止。
• 如果该生物被石化的身体遭破坏，则其在恢复原形时将遭受同样的破坏。
• 如果你在为该法术维持了最长持续时间的专注，则该生物变为石头的效应将保持至被移除为止。</t>
  </si>
  <si>
    <t>• 你创造一个对抗魔法旅行的结界，该结界区域至多覆盖40000平方尺地面及其上30尺高空。在法术持续时间内，生物无法传送进区域内或使用传送门（诸如法术异界之门 Gate的作用）进入其内。该法术使该区域无法进行位面旅行，因此生物无法通过星界位面，以太位面，妖精荒野，堕影冥界，或是通过法术异界传送 Plane Shift来连接该区域。
• 此外，该法术可以对你所选定类别的生物造成伤害。从一下选项中选择一项或多项：天界生物、元素生物、精类生物、邪魔以及不死生物。所选定生物在一个回合内第一次进入法术区域或者在其内开始其回合时，将受到5d10点光耀伤害或黯蚀伤害（由你在施法时选择其一）。
• 施展该法术时，你可以设定一段密语。说出密语的生物就算进入区域也不会受到该法术的伤害。
• 该法术的效应区域不能与另一个禁制术的区域相重叠。你可以通过对同一区域连续30日每日施展禁制术来使其效应持续至被解除，并在最后一次施法时将该法术对材料成分消耗殆尽。</t>
  </si>
  <si>
    <t>• 一个固定的微光屏障从你周围半径10尺区域内涌现并在法术持续时间内维持存在。
• 任何在屏障外施放的5环或更低环阶的法术无法影响其内的生物或物件，这些法术即使以升环施法施展也无法突破该限制。这些法术可以以屏障内的生物或物件为目标，但无法对其生效。其效果有如屏障内的区域被排除在法术效应范围之外。
• 升环施法效应：当你使用7环或更高法术位施展该法术时，你使用的法术位每比6环高一环，屏障能阻挡的法术就高一环。</t>
  </si>
  <si>
    <t>• 你以自身为原点咒现出一条长100尺，宽5尺的重力能量。所有在线上的生物需要进行一个体质豁免，若失败，则受到8d8点力场伤害，若豁免成功则受到一半伤害。
• 所有距离这条线10尺或以内但不在线当中的生物需要通过一个体质豁免，若失败则受到8d8点力场伤害并且会被拉向线的区域中。
• 升环施法效应：当你使用7环或更高环位的法术位施展该法术时，每比6环高出一环的法术位能使该法术的伤害增加1d8。</t>
  </si>
  <si>
    <t>• 你制造一个保护区域覆盖至多2,500平方尺地面面积（一个50尺的方形区域，或一百个5尺的方状区域，或二十五个10尺的方形区域）。保护区域至高可达20尺，并随你的意愿塑形。只要你施法时可以走进每一个连续区域，你就可以分割区域来护卫一座要塞的几个楼层。
• 施展该法术时，你可以指明特定个体以让其不受法术某些或全部效应的影响。你还可以指明一句口令，当其被大声说出时，即可让说出口令的人对这些效应免疫。
• 铜墙铁壁在保护区域内创造下列效应。
• 过道 Corridors：浓雾充斥受保护的过道使其处于重度遮蔽。此外，除你以外的生物在过道上遇到需要选择方向的分叉路口时，有50%机会误认错的方向为正确的前进方向。
• 门 Door：所有保护区域内的门都以魔法上锁，等同于使用法术秘法锁封门。此外，你还可以用一个幻像掩盖至多10扇门（相当于法术次级幻像的虚幻物件效果）来让其看起来有如平整的墙面。
• 楼梯 Stairs：蛛网从上到下布满了保护区域内的楼梯，等同于法术蛛网术的效应。铜墙铁壁法术持续时，即使这些蛛网被焚烧或撕毁，也可以在10分钟后重生。
• 其他法术效应：你可以在要塞的保护区域内布置你指定的下列魔法效应之一。
→在四条走廊布置舞光术 Dancing Lights。你可以安排一个简单的灯光舞动程序，使其在铜墙铁壁法术持续时反复运作。
→在两个地点布置魔嘴术 Magic Mouth。
→在两个地点布置臭云术 Stinking Cloud。其云雾显现在由你安排的位置。在铜墙铁壁法术持续时，即使其云雾被风吹散也会在10分钟后重新生成。
→在一条走廊或一个房间布置一个持续存在的造风术 Gust of Wind。
→在一个地点布置一个暗示术 Suggestion。你指定一个至多5尺的方状区域，任何进入或穿过该区域的生物将受到法术的精神暗示。
• 整个保护区域辐射着魔法。对某个特定效应施展解除魔法 Dispel Magic时，如果法术成功则移除该特定效应。
• 当你在一年里对同一处每日连续施展该法术后，将创造出一个永久的铜墙铁壁效果。</t>
  </si>
  <si>
    <t>• 你将致命的病害释放到施法距离内一个你能看见的生物身上。目标必须进行一次体质豁免，豁免失败则受到14d6点黯蚀伤害，豁免成功则伤害减半。该伤害不能将目标的生命值降至1以下。若目标体质豁免失败，则其生命值上限减损与该黯蚀伤害相等数值。减损效果维持一小时，且任何可移除疾病的效应均可在时限到达前将目标生命值上限回复至正常值。</t>
  </si>
  <si>
    <t>• 指定施法距离内一个你能看见的生物。汹涌澎湃的正能量将充盈该生物，使其回复70点生命值。该法术也会终止正在影响目标的目盲、耳聋以及任何疾病效应。该法术对构装体与不死生物无效。
• 升环施法效应：使用7环或更高法术位施展该法术时，你使用的法术位每比6环高一环，治疗量就增加10点。</t>
  </si>
  <si>
    <t>• 你创造出一席盛宴，其中包括了上等的食物和饮品。宴席需要1小时来享用，并会在这段时间结束后消失不见，而且下述增益效应在该小时结束前不会生效。你可以让至多十二个生物加入分享大餐。
• 所有享用了大餐的生物都会获得几种增益。这些生物的所有疾病和中毒状态都会被治愈，并且免疫毒素和恐慌状态，其进行感知豁免时具有优势，生命值上限也将提高2d10点，并获得等量的生命值。这些增益将持续24小时。</t>
  </si>
  <si>
    <t>• 火焰环绕着你的身体，照亮周围30尺半径的区域，并在外围30尺范围内产生微弱的亮光。这些火焰不会伤害到你。直到此法术终结，你得到如下的增益：
• 你免疫火焰伤害并对冷冻伤害具有抗性。
• 任何在回合中第一次进入你周围5尺范围之内，或是在你周围5尺范围之内结束回合的生物受到1d10点火焰伤害。
• 你可以使用你的动作以创造出一条以你为起始点，向由你选择的方向延伸的15尺长、5尺宽的火线。在线中的每个生物都必须进行一次敏捷豁免检定。豁免失败的生物受到4d8点火焰伤害，豁免成功者受到上述伤害的一半。</t>
  </si>
  <si>
    <t>• 直到此法术终结，寒冰浸沐了你的躯体，你得到如下增益：
• 你免疫冷冻伤害，并对火焰伤害具有抗性。
• 你可以在由冰或雪形成的困难地形上移动而无需额外消耗移动力。
• 以你为中心，周围10尺半径的区域被冻结了，对于你之外的生物而言，其被视为困难地形。此范围会随着你移动而移动。
• 你可以使用你的动作以创造出一道15尺的寒风锥，以你张开的手为起始点，向由你选择的任意方向延伸。在锥内的每个生物均必须进行一次体质豁免检定。检定失败则受到4d6点冷冻伤害，若成功则受到上述伤害的一半。在对抗该效应的豁免检定中失败的生物，直到你的下个回合开始，其速度减半。</t>
  </si>
  <si>
    <t>• 直到法术终结，岩石颗粒布满了你的躯体，你得到如下增益：
• 你对于来自非魔法攻击的钝击，穿刺和挥砍伤害得到抗性。
• 你可以以一个动作，在以你为中心周围15尺半径的地表创造出一阵小型地震。在地表上的其他生物必须通过一次敏捷豁免检定，否则会摔倒。
• 你可以在由泥土或岩石造成的困难地形上移动而无需额外消耗移动力。你可以穿过固态的泥土或石头，像是穿过空气那样。这并未令穿过的物质变得不再凝固，但你不能在物质中结束你的移动。若你结束了移动，你将被排出到最近的未被占据的空间内，此法术终结，你在直到你下个回合结束前的时间内陷入震慑状态。</t>
  </si>
  <si>
    <t>• 直到此法术终止，风在你的身旁回旋，而你得到下述增益：
• 对你进行的远程武器攻击，在其攻击检定中具有劣势。
• 你得到60尺的飞行速度。若此法术终止时，你仍处于飞行状态，你会坠落，除非你有其他方法避免坠落。
• 你可以使用你的动作以在你60尺范围内，以你能看到的一点为中心，制造出15立方尺的呼啸之风。每个在该空间内的生物必须进行一次体质豁免检定。豁免失败的生物受到2d10点钝击伤害，豁免成功者受到上述伤害的一半。若体型不超过大型的生物在此豁免中失败。该生物将在远离该空间中心的方向上被推离10尺。</t>
  </si>
  <si>
    <t>• 你的灵魂离开身体进入作为法术材料成分的容器中，而你的身体则陷入失神的状况。灵魂处于容器中时，你可以如同身处容器所在位置一样察觉周边。你不能移动，也不能使用反应，而此时你唯一能做的动作就是将你的灵魂投射出容器至多100尺的距离，或者回到你仍活着的身体中去（并终止该法术），或者尝试占据另一个类人生物的身体。
• 你可以附身于任何距你100尺内你能看见的人形生物（受法术防护善恶 Protection from Evil and Good或防护法阵 Magic Circle保护的生物无法被附身）。该目标必须进行一次魅力豁免。豁免失败，则你的灵魂进入目标的身体，而目标的灵魂被困在容器中；豁免成功，则目标抵抗了你的附身，而随后的24小时内你将无法再次尝试附身该生物。
• 附身成功后，目标生物的身体将由你控制。你的游戏资料将替换为该生物的属性数据，不过你将保留自己的阵营以及智力、感知、魅力属性值。你的职业特性增益也会在附身时维持，但你无法使用目标可能具有的任何职业特性。
• 此外，被附身生物的灵魂可以用它自己的感官从容器内部观察外部，但它既不能移动也不能使用动作。
• 附身于一具躯体时，如果容器处在你身边100尺内，则你可以用一个动作从宿主的身体回到容器中，并让宿主的灵魂回到它自己的身体里。在你处于宿主的身体中时，如果宿主的身体死亡，则你必须进行一次对抗该法术豁免DC的魅力豁免。豁免成功且容器距你不超过100尺时，你回归容器内。豁免失败则即时死亡。
• 如果容器被毁或者法术终止，则你的灵魂会立即回到你自己身体里。如果你在尝试回到自己身体时，身体距你超过100尺或者你的身体已死，则你也随之死亡。如果容器被毁时另一生物的灵魂在容器内，且该生物的身体仍然活着并距它不超过100尺，则其灵魂会回到身体里。否则该生物死亡。
• 该法术终止时，其容器将随之被摧毁。</t>
  </si>
  <si>
    <t>• 你以魔法影响施法距离内至多十二个你能看见的生物，并对其施以某种行动暗示（至多以一两句话的形式）。由你指定的受术目标必须能听到并理解你的话语。而不能被魅惑的生物也将免疫此效应。你的暗示言辞必须能让其行为听起来合乎情理。要求生物刺伤它自己，自己撞向矛尖上，让它自我牺牲，或是让它做任何明显有害的行为都会直接取消该法术所产生的效应。
• 每个目标必须进行一次感知豁免，豁免失败者将尽其所能地从事你所描述的行为。你所暗示的行为可能会在法术持续时间内始终一直进行。而如果你所暗示的活动可以用更短的时间完成，则该法术会在目标完成了你的要求后随即终止。
• 你也可以描述一种在持续时间内发生的特定状况，作为触发特殊行为的条件。例如，你可以暗示一队士兵将所有的钱交给他们遇到的第一个乞丐。如果在法术终止前条件始终没有满足，则指定的行为不会被执行。
• 如果你或你同伴中的任何人伤害了一个被该法术影响的生物，则该法术对该生物产生的效应随之终止。
• 升环施法效应：使用7环法术位施展该法术时，持续时间变为10日。使用8环法术位施展该法术时，持续时间变为30日。使用9环法术位施展该法术时，持续时间变为一年零一日。</t>
  </si>
  <si>
    <t>• 你试图将目标生物束缚在一个只有他自己能感知的幻觉牢房中。在距离内你选择的一个可见的生物必须进行一次智力豁免检定。如果目标免疫魅惑，它在这次豁免中自动成功。若豁免成功，目标受到5d10心灵伤害，同时法术结束。若豁免失败，在造成5d10心灵伤害的同时你立即创造出环绕目标所在空间的某种危险区域。你也许会让目标感觉到自己被烈火、被浮动的刀锋、被可怕的獠牙所包围。
• 无论你采用什么形式的幻象，目标都不能越过它看到或听到任何事物，并且在法术持续时间内被束缚。如果目标移动出幻象，穿过它进行一次近战攻击检定，或尝试用身体的任何部分穿过它，目标受到10d10心灵伤害，然后法术结束。</t>
  </si>
  <si>
    <t>• 指定施法距离内边长不大于40尺的方状地形区域，并以任意的方式重塑区域内的泥土，沙土或黏土。你可以升高或降低区域内的地面高度，制造或填平一道沟渠，升起或夷平一座山丘，或者塑造一根立柱。被改变的地形范围在最长不得超过整个区域最长边长的一半。因此，如果你影响了40尺方状区域，则你可以创造一根至多20尺高的立柱，将地面升高或降低至多20尺，挖一条至多20尺深的壕沟，等等。这些改变需要花10分钟的时间来完成。
• 每为法术维持10分钟专注，你都可以选择一片新的地形区域再施以影响。
• 由于地形的变化发生得很缓慢，区域内的生物通常不会被地面的移动困住或者受伤。
• 该法术无法改变天然的岩石或石制建筑。但石头和建筑仍会因适应地形的变化而被改变。如果你改变地形的方式会使得建筑不稳定，则它有可能倒塌。
• 此外，该法术也无法直接影响植物生长。而被移走的土壤会带走任何生长在其上的植物。</t>
  </si>
  <si>
    <t>• 一个冷冻能量形成的冰球从你的指尖射向施法距离内一处指定点，并在该处迸裂为一个半径60尺的球状区域。区域内的每个生物必须进行一次体质豁免。豁免失败者将受到10d6点冷冻伤害。豁免成功则伤害减半。
• 如果冰球击中某处水体或者某处以水分为主的液态表面（不包括由水组成的生物），其触及的水面将凝结出6寸厚、30尺宽的方形冻结区域。任何在其中游泳的生物将被冰面所困。受困的生物可以用一个动作进行一次对抗法术豁免DC的力量检定以破冰挣脱。
• 你可以在完成该法术后延迟发射冰。此时你手上将形成一个弹丸般大小，摸起来感觉冰冷的小冰球。你或者任意从你手上获得冰球的生物可以随时将冰球投出去（以40尺射程）或者用投石索将其弹射出去（以投石索的常规射程），并以冲击将其打破再产生正常施法时相同的效应。你还可以将冰球设置好而不打破它，法球在不打破的情况下维持1分钟后会自动迸裂。
• 升环施法效应：使用7环或更高法术位施展该法术时，你使用的法术位每比6环高一环，其伤害就增加1d6。</t>
  </si>
  <si>
    <t>• 指定施法距离内一个你能看见的生物，并使目标生物会在原地跳起滑稽的舞蹈：它将在持续时间内不住的曳步、踏脚和蹦跳。不会被魅惑的生物将免疫该法术。
• 正在跳舞的生物必须用掉它全部的移动力在原地跳舞，其进行敏捷豁免和攻击检定时具有劣势。目标受该法术影响时，其它生物对其进行的攻击检定具有优势。正在跳舞的生物可以使用一个动作来进行一次感知豁免，豁免成功则法术终止。</t>
  </si>
  <si>
    <t>• 你祈求一个异界个体的援助。你必须对该存在个体有所了解，它可以是一个神祗，一位原初者，一名恶魔主君，或是其他界域级力量的存在。该存在将派遣一个效忠它的天界生物，元素生物或邪魔来援助你，并使该个生物显现在施法距离内一个未占据空间。如果你知道他们中某个特定生物的名字，则你可以在施展法术时说出其名字来请求指派该生物来援，但是你仍然有可能得到一个不同的生物（由DM选择）。
• 该生物出现时，你无法强迫它作任何事。你可以以报酬为交换请求其提供服务，只是它并没任何义务为你实现。请求的任务可以简单（帮我们飞越峡谷，或在一场战斗中提供协助），也可以复杂（暗中监视我们的敌人，或在我们扫荡地城时保护我们）。你必须能与该生物交流以为他服务的报酬讨价还价。
• 报酬的形式也可以各式各样。一个天界生物可能会要求为一座同盟的神殿捐献一份相当可观的金币或魔法物品，而一只邪魔可能会索要一次活祭或一份财宝作为礼物。一些生物可能会要求你进行一个任务来换取它们的服务。
• 粗略计算，一个可以按分钟计算的任务需要每分钟100gp的报酬。一个可以按小时计算的任务需要每小时1,000gp的报酬。一个可以按日计算的任务（至多10日）需要每日10,000gp的报酬。DM可以按你施放该法术的环境调整具体的报酬。如果任务与生物的行为准则一致，则报酬可能会被减半甚至放弃。没有风险的任务一般只需要建议报酬的一半，而特别危险的任务可能会需要更大的赠礼。生物极少接受看上去像自杀的任务。
• 生物完成任务后，或当协议服务时间结束后，如果任务合适并在可能的情况下，生物会在回来向你报告后再返回自己的家乡位面。如果你不能同意生物的服务价格，则其将立即返回其家乡位面。
• 应召加入你队伍的生物算作队伍成员，并正常分享获得的经验值。</t>
  </si>
  <si>
    <t>• 你在本法术的持续时间内具有对强酸，冷冻，火焰，闪电和雷鸣伤害的抗性。
• 当你受到上述类型之一的伤害时，你可以使用你的反应来得到对该种类型伤害的免疫，这包括了对触发此效果的伤害。若你如此做，则抗性效果结束，而你在直到你的下个回合结束前具有对应的免疫，之后此法术终结。</t>
  </si>
  <si>
    <t>• 你在施法距离内创造一个幻象，其外观为一个物件，一个生物或其他可视的现象，并使其在特定情况下激活。该幻象在被激活前无法被察觉。它必须不大于30尺立方区域，而你将在施放该法术时决定幻像该如何行动和发出什么声音。而这种按脚本执行的表演可以持续至多5分钟。
• 你所指定的情况发生时，幻像会迅速成型并按设定的方式表演。表演结束后，幻象将消失并潜伏10分钟。这段时间过后，幻像就可以再次被激活。
• 触发幻象的情况可以是一般事件，也可以按你的要求进行细化，但是它必须是发生在目标区域周边30尺范围内的能看到或听到的状况。例如，你可以制造一个自己的幻像，在其他人试图打开一扇设置了陷阱的门时出现并发出警告，或者你也可以设置一个在生物说出正确单词或短语才触发的幻象。
• 由于幻象无法被碰到，任何与该幻象进行的物理互动都会暴露其幻觉本质。一个生物用其动作调查幻象时，它可以进行一次对抗法术豁免DC的智力（调查）检定，以判定是否看穿幻象。辨出幻象的生物可以看穿该影像，其产生的声响对该生物而言显得虚假。</t>
  </si>
  <si>
    <t>• 你选择距离之内最多5个可见生物，震颤的空气将环绕他们周围。一个非自愿的生物必须成功进行感知豁免检定来抵抗该法术。你将每个受影响的生物传送至120尺内任意你可以看见且未被占据的空间。这个空间必须在地面上或在地板上。</t>
  </si>
  <si>
    <t>• 该法术攫取一个死去的类人生物的灵魂，并将它关在你用作为法术材料成分的笼子里。被偷窃而来的灵魂在笼子里持续到法术结束或者你摧毁这个笼子，这也会使法术结束。当你的笼子里面有一个灵魂时，你可以用下文描述的任一方法来利用它。一个被困住的灵魂最多被你这样使用6次。一旦你第六次利用这个灵魂，它将会被释放，然后法术结束。在灵魂被困住时，作为灵魂来源的已死类人生物无法被复活。
• 窃取生命Steal Life：你可以用一个附赠动作从灵魂中吸取活力并恢复2d8生命值。
• 灵魂质问Query Soul：你向灵魂提出一个问题（无需动作）并得到一个简短的回答作为心灵感应，无论用什么语言你都可以理解。灵魂只知道它的人生中了解的事物，但它必须如实回答并且尽其所能。回答至多是一两句话，也有可能是有隐藏意义的。
• 借鉴经验Borrow Experience：你可以使用一个附赠动作让灵魂的人生经验来支撑你，令你的下一次攻击检定，能力检定和豁免检定具有优势。如果在你的下个回合开始之前你没有使用这个增益，它将会消失。
• 亡者之眼Eyes of the Dead：你可以使用一个动作来说出这个类人生物在人生中曾见过的地点的名字，如果你和那个地点在同一位面，你可以在那里创造出一个隐形的传感器。这个传感器将维持到你的专注结束，最多10分钟（如同你正专注于一个法术）。你从这个传感器中接受视觉和听觉信息，就如同你在那个地点使用自己的感官。
• 能看到这个传感器的生物（例如使用了识破隐形See Invisibility法术或是拥有真实视觉）将会看到被你关在笼中的受难者半透明的影像。</t>
  </si>
  <si>
    <t>• 你唤来一个邪魔灵魄。其在施法距离内你可见的一个未占据位置化为实体。这一实体使用下面的邪魔灵魄Fiendish Spirit的数据。当你施展法术时，从恶魔Demon，魔鬼Devil或尤格罗斯魔Yugoloth中选择一种。此生物外形如同你所选择类型的邪魔，其资料表中的部分特性也受此影响。当其生命值降到0或法术结束时，生物消失。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升环施法效应：使用7环或更高法术位施展该法术时，该生物数据中使用更高的法术环阶。
邪魔灵魄Fiendish Spirit
大型邪魔
AC：12+法术环阶 (天生护甲)
HP：50（仅限恶魔）或40（仅限魔鬼）或60（仅限尤格罗斯魔）+15每比6环高的法术环阶
速度：40尺，攀爬40尺（仅限恶魔），飞行60尺（仅限魔鬼）
力量13（+1）  敏捷16（+3）  体质15（+2）
智力10（+0)   感知10（+0）  魅力16（+3）
伤害抗性：火焰
伤害免疫：毒素
状态免疫：中毒
感官：黑暗视觉60尺，被动察觉10
语言：深渊语，炼狱语，心灵感应60尺
挑战等级：—
熟练加值：与你相等
焚身爆Death Throes（仅限恶魔）。邪魔生命值降为0时或法术结束时将爆炸，其周围10尺内每个生物必须进行一次敏捷豁免对抗你的法术豁免DC，豁免失败则将受到2d10+法术环阶点火焰伤害，豁免成功则伤害减半。
魔鬼视界Devil's Sight（仅限魔鬼）。魔法黑暗不会阻碍邪魔的黑暗视觉。
魔法抗性Magical Resistance。邪魔为抵抗法术和其他魔法效应而作的豁免检定具有优势。
动作
多重攻击Multiattack。邪魔发动等同于法术环阶一半的次数的攻击（向下取整）。
啃咬Bite（仅限于恶魔）。近战武器攻击：命中+你的法术攻击调整值，触及5尺，单一目标。伤害：1d12+3+法术环阶点黯蚀伤害。
爪击Claws（仅限于尤格罗斯魔）。近战武器攻击：命中+你的法术攻击调整值，触及5尺，单一目标。伤害：1d8+3+法术环阶点挥砍伤害。发动攻击后，邪魔可以魔法性地传送至一处30尺内其可见且未被占据的空间。
投掷烈焰Hurl Flame（仅限于魔鬼）。远程法术攻击：命中+你的法术攻击调整值，射程150尺，单一目标。伤害：2d6+3+法术环阶点火焰伤害。如果目标时未被着装或携带的可燃物件，则将被点燃。</t>
  </si>
  <si>
    <t>• 一道耀眼的光芒从你手中射出并形成一条5尺宽、60尺长的线状区域。所有区域内的生物必须进行一次体质豁免。豁免失败者将受到6d8点光耀伤害，并且在你的下一回合前陷入目盲。豁免成功则伤害减半，且不会陷入目盲。不死生物和泥怪在进行该豁免是具有劣势。
• 你可以在法术终止前的任一回合内以一个动作重新创造一到线状光芒。
• 在法术持续时间内，你的手中一点散发出耀眼的光芒。其光耀为周围提供30尺的明亮光照，以及该范围外30尺的微光光照。这些光芒均视为等同于阳光。</t>
  </si>
  <si>
    <t>• 你念动一段咒语，吸收下层位面或上层位面的魔力（由你选择）并变化自身。你获得以下增益直到法术结束。
→你免疫火焰和毒素伤害（下层位面）或光耀和黯蚀伤害（上层位面）。
→你免疫中毒状态（下层位面）或魅惑状态（上层位面）。
→你背后出现灵体翅膀，赋予你40尺飞行速度。
→你的AC获得+2加值。
→你进行的所有武器攻击都带有魔法，且当你进行一次武器攻击时，你可以用你的施法关键属性代替力量值进行攻击检定和伤害掷骰。
→当你在自己的回合进行攻击动作时，你可以攻击两次而非一次。如果已经有类似的能力给予你额外的攻击次数，例如额外攻击Extra Attack，你无视这项增益。</t>
  </si>
  <si>
    <t>• 你以魔法为燃料赋予自己耐久和武艺。直到法术结束之前，你不能施展法术，并且得到如下增益：
• 你得到50点临时生命。如果这些临时生命保持到了法术结束，它们会消失。
• 你在使用简易或军用武器时，攻击检定具有优势。
• 当你用武器攻击击中一个目标，它将受到额外2d12力场伤害。
• 你熟练于所有盔甲，盾牌，简易武器和军用武器。
• 你熟练于力量豁免和体质豁免。
• 当你在自己的回合采取攻击动作时，你可以攻击两次而非一次。如果已经有类似的能力给予你额外攻击，例如额外攻击Extra Attack，你无视这项增益。
• 在法术结束时你需要立即成功通过一次DC15的体质豁免检定，否则将承受1级力竭。</t>
  </si>
  <si>
    <t>• 该法术将施法距离内一棵大型或更大的静态植物用魔法与同位面上任意距离外的另一棵植物相连接。施法时，你必须见过或触碰过出口植物至少一次。此后，任何生物都可以在法术持续时间内花费5尺移动力进入目标植物内，然后从出口植物处出来。</t>
  </si>
  <si>
    <t>• 你触碰一个自愿的生物，让该法术赋予其看到事物真实面目的能力。受术者在法术持续时间内拥有120尺的真实视觉，其能发现被魔法隐藏的暗门，也能看到以太位面。</t>
  </si>
  <si>
    <t>• 你创造出一面坚韧、纠缠、长满锐利棘刺的灌木之墙。棘墙出现在施法距离内一处坚实的地面上并且持续存在至法术终止。你可以选择创造长不过60尺、高不过10尺、厚不过5尺的直墙；或是直径不过20尺、高不过20尺、厚不过5尺的环形墙。此外，棘墙还会阻挡视线。
• 棘墙出现时所有位于其内的生物要进行一次敏捷豁免。豁免失败者将受到7d8点穿刺伤害，豁免成功则伤害减半。
• 生物可以移动穿过棘墙，但这是个十分缓慢且痛苦的过程。生物在棘墙中每移动1尺要消耗4 尺的移动力。另外，生物在一个回合内第一次进入棘墙或在棘墙里结束其回合时，必须进行一次敏捷豁免。豁免失败者将受到7d8点挥砍伤害，豁免成功则伤害减半。
• 升环施法效应：使用7环或更高法术位施展该法术时，你使用的法术位每比6环高一环，两种类型的伤害就都增加1d8。</t>
  </si>
  <si>
    <t>• 你和施法距离内你能看见的至多十个自愿生物在法术持续时间内变为气化形态，其外观有如一团云雾。处于该云雾形态的生物具有300尺的飞行速度，并且对非魔法武器造成的伤害具有抗性。该形态下的生物除疾走 Dash 和变回原形以外不能执行其他动作。变回原形需要花一分钟的时间，在这段时间内该生物处于失能状态且不能移动。在法术终止前，该生物还可以再次变成云雾形态，而再次进行变形同样要花一分钟时间。
• 如果法术终止时受术生物正以云雾形态飞行，则该生物将在1分钟内以每轮60尺的速度降落直至安全着陆。如果该生物降落1分钟后还没着陆，则在余下的距离中它将会如正常情况一样坠落。</t>
  </si>
  <si>
    <t>• 你和你身边5尺内的至多五个自愿生物一起瞬间传送到一个你事先设置好的避难所。你和与你一起传送的生物将出现在你准备避难所时指定的地点（见下）旁边最近的未被占据位置。如果你在施放法术前没有事先准备好避难所，则该法术将不产生任何效应。
• 设置避难所时，你必须身处一个你所信仰神祇的神庙或与该神祇密切相关的地点，然后在该处施展此法术。如果你试图在一个并不供奉你所信仰神祇的地方施展此法术，则该法术将不产生任何效应。</t>
  </si>
  <si>
    <t>• 你创造一道闪着银光的力场，环绕在施法距离内你所选择的一个生物周围（你可以选择你自己）。该力场散发5尺微光光照。被力场保护的生物获得以下增益：
→掩护：该生物具有半身掩护。
→伤害抗性：该生物获得对强酸，冷冻，火焰，闪电以及毒素伤害的抗性。
→反射闪避：如果该生物受到可以由成功通过敏捷豁免来使伤害减半的效应影响，该生物在成功通过豁免时改为不受任何伤害，失败则受到一半伤害。
• 在之后的回合内，你可以以一个附赠动作将该力场移动至力场周围60尺内的另一个生物身上。</t>
  </si>
  <si>
    <t>• 你召唤一个挑战等级4或更低的天界生物，并使其显现在施法范围内一处你能看见且未被占据的空间。该天界生物在生命值降至0时，或者法术终止时消失不见。
• 被召唤的天界生物对你和你的伙伴保持友善关系。你为召唤出来的天界生物掷先攻权，并依此获得其自己的行动回合。该天界生物服从你发出的所有语言命令（不需要你作动作），前提是该命令必须不违反其所属阵营。如果你不发出任何命令，该生物会在敌对生物前保护自己，如果没有敌对生物则不执行任何动作。
• 该天界生物的具体数值由DM掌控。
• 升环施法效应：使用9环法术位施展该法术时，你将召唤一个挑战等级5或者更低的天界生物。</t>
  </si>
  <si>
    <t>• 七个星型的光点在你的头顶浮现并环绕，直到法术结束。你可以使用一个附赠动作消耗一个光点袭向在你120尺内的一个生物或物品。当你这么做时，进行一次远程法术攻击检定。若击中，目标受到4d12光耀伤害。无论你击中与否光点都将被消耗。如果你消耗了最后一枚光点，法术将提前结束。
• 如果你还留存4个或更多的光点，它们会发出30尺半径的明亮照明和额外30尺的微亮照明。如果你还留存1至3个光点，它们只会发出30尺的微光照明。
• 升环施法效应：当你使用8环或更高的法术位施放该法术时，使用的法术位每比7环高一环，你就可以多创造两枚额外的光点。</t>
  </si>
  <si>
    <t>• 一束黄光从你的指尖射向施法距离内你指定的一点，并在法术持续时间内在该点凝结成一颗赤红的珠子。当因专注被打断或自主决定导致法术终止时，珠子将伴着低吼炸裂成四窜的烈焰并绕过拐角扩散。此时，目标点周边半径20尺内的每个生物都必须进行一次敏捷豁免。豁免失败者将承受全部累积点火焰伤害，豁免成功则伤害减半。
• 该法术的基础伤害为12d6。如果你在回合结束时，珠子尚未引爆，则其伤害增加1d6。
• 如果珠子爆炸前被生物触碰到，则该生物必须进行一次敏捷豁免。豁免失败则法术立即终止并触发爆炸效应。豁免成功则该生物可将珠子抛开至多40 尺。当珠子被生物或固态物件撞击时，法术立即终止并且触发爆炸效应。
• 火焰伤害区域内没被着装携带的易燃物品将被烈焰点燃。
• 升环施法效应：使用8环或更高法术位施展该法术时，你使用的法术位每比7环高一环，基础伤害就提高1d6。</t>
  </si>
  <si>
    <t>• 你吟诵一句神圣的箴言，其中充盈了创世黎明的力量。在施法距离内指定任意数量的你能看见的生物，并迫使每个能够听到圣言的生物进行一次魅力豁免。豁免失败者基于其当前生命值承受以下效应：
→生命值为50 或更少：耳聋1 分钟。
→生命值为40 或更少：耳聋并目盲10 分钟。
→生命值为30 或更少：耳聋、目盲并被震慑1 小时。
→生命值为20 或更少：即死。
• 对于受术的天界生物、元素生物、精类生物或邪魔，其豁免失败时不需考虑其当前生命值，并直接将其遣返回其原属位面（本来就处于原属位面则无效）。在随后24小时内，该生物不能通过任何方式回到当前位面，除非使用祈愿术 Wish的效应。</t>
  </si>
  <si>
    <t>• 你与至多8个自愿生物在法术持续时间内进入昏迷，并梦见物质位面中的另一处世界，比如奥斯、托瑞尔、克莱恩或艾伯伦。如果该法术达到了完整的持续时间，梦境会在你们所有人相遇并拉开一面神秘的蓝色幕帘时停止。该法术随后结束，并将你们在物质和精神上传送到梦境所在的世界。
• 要施展该法术，你必须拥有一件源自目标世界的魔法物品，且你也必须知道这个世界的存在，即便你不知道那个世界的具体名字。你在另一个世界的目的地是该魔法物品创造地点周围1里内的安全地点。此外，如果其中一个受术目标出生在另一个世界，你也可以施展该法术，但目的地变为该生物出生地1里内的安全地点。
• 如果有一个生物受到任何伤害，则此法术在该生物身上提前结束，该生物不会被传送。如果你受到任何伤害，则你和其他所有生物身上的此法术会提前结束，你们都不会被传送。</t>
  </si>
  <si>
    <t>• 你进入当前所处位面与以太位面边缘的重叠空间。你可以在法术持续时间内一直呆在该以太边缘，也可以使用动作解除法术。此时你可以向任意方向移动。如果向上或向下移动，则你移动的每尺距离需要额外消耗一尺的移动力。你可以看见并听见你原来的位面，但是所有事物都以灰度显示，而你也看不到60尺外的东西。
• 在以太位面时，只有同样处在以太位面的其他生物才能被你影响或影响你。不在以太位面的生物无法察觉你，也无法与你互动，除非其具相应的特殊能力或魔法。
• 你将无视所有不在以太位面的物品和效应，这使你可以穿越你能看见的原属位面物件。
• 法术终止时，你立刻回到原本所在的位面，占据当前所在的空间位置。如果你的位置已经有一件固体的物件或一个生物，则你立刻被转移到最近一处你可占据而未被占据的空间位置，并受到两倍于你移动尺数点力场伤害。
• 如果你正处于以太位面，或所在位面与以太位面不相连（比如某个外层位面），则该法术无效。
• 升环施法效应：使用8环或更高法术位施展该法术时，你使用的法术位每比7环高一环，你就可以多指定三个自愿生物作为法术目标（包括你在内）。这些生物在你施法时必须在你10尺内。</t>
  </si>
  <si>
    <t>• 你发出负能量并贯穿施法距离内你能看见的一个生物使其承受苦痛。该生物必须进行一次体质豁免。豁免失败则受到7d8+30点黯蚀伤害，豁免成功则伤害减半。
• 被该法术杀死的类人生物将在你下一回合开始时唤起为一只受你操控的僵尸，并在随后尽力遵循你的语言指令。</t>
  </si>
  <si>
    <t>• 一片由烈焰形成的风暴扫过施法距离内一处你指定的区域。该区域由至多十个10尺立方区域组成。你可以自行安排各立方区域的组合方式，而每个立方区域必须至少有一面与其他立方区域相连。区域内每个生物必须进行一次敏捷豁免。豁免失败者将受到7d10点火焰伤害，豁免成功则伤害减半。
• 风暴的烈焰将对区域内的物件造成伤害，并点燃区域内所有未被着装或携带的可燃物件。你可以选择让区域内的植物生命免受该法术效应的影响。</t>
  </si>
  <si>
    <t>• 你围绕施法距离内一处指定地点以魔力形成一个固定的立方状隐形监牢。你可以选择监牢的形式为笼状或密封体。
• 笼状监牢为各边长至多20尺的立方体，其墙体由1/2寸粗的力场栅栏杆组成，每杆指间相距1/2寸。
• 密封监牢为各边长至多10尺的立方体，其墙体为由力场墙密封，并阻隔一切物质和法术从牢笼里进出。
• 施展该法术时，所有完全在法术区域内的生物将被牢笼困住。部分处于区域内或者体型比区域更大的生物则被从区域中心向外推开，直至其完全离开该区域。
• 牢笼内的生物不能以非魔法的手段离开。如果该生物试图使用传送或跨位面旅行来离开牢笼，则其必须线进行一次魅力豁免。豁免成功则该生物可以用该魔法离开牢笼。豁免失败者将无法以此离开牢笼并浪费掉该法术或效应。该牢笼同时延伸至以太位面从而屏蔽掉从以太位面旅行逃脱。
• 该法术不能被法术解除魔法 Dispel Magic所解除。</t>
  </si>
  <si>
    <t>• 你使至多1里方形区域内的地形在视觉、听觉、嗅觉、甚至触觉上都像是某种其它的地形，不过其地形的大致形状仍保持不变。你可以让开阔的平原或者一条路可能变得像一片湿地，一座小山，一个裂谷或是其它困难或无法通行的地形。你还可以让一个池塘变得像一片茂盛的草地，一个悬崖变得像一个缓坡，或者让一个乱石沟变得像一条宽阔平坦的大路。
• 另外，你还可以改变建筑物的外观，或者在本来没有建筑物的地方添上建筑物。该法术不可以伪装、隐藏或增添生物。
• 该幻术是听觉、视觉、触觉和嗅觉的综合体，因而其可以把空旷的地面变成困难地形（或者反过来），甚至使之变成无法通行的区域。幻象地形的任何一小部分（例如一块石头或者一根树枝）被移动到法术区域外时都会立刻消失不见。
• 拥有真实视觉的生物可以看穿幻术，洞悉地形的真实形态；然而幻象的所有其它元素仍会得以保留，所以一个意识到这是幻象的生物仍然可以与该幻象进行物理互动。</t>
  </si>
  <si>
    <t>• 你在施法距离内创造出一个异次元的居所，并维持至法术持续时间结束。居所唯一的入口宽5尺，高10尺而微微发光，其具体位置由你指定。只要该入口保持开启，你和你施展该法术时指定的任意生物都可以进入该异次元居所中。你可以在距入口不超过30尺处开启或关闭入口。而入口关闭时即其处于隐形状态。
• 入口内是一个连接着许多房间的华丽大厅。其内空气洁净清新而温暖舒适。
• 你可以随意创造自己喜欢的房间构造，但其总体积不得超过50个边长10尺的立方体。房间内依你喜好配置好家具和装饰，其内储备的食材足以制作供100人享用的九道菜大餐。一组共100名的半透明仆从会招待任何进入房间的人。仆从的外观衣着由你决定，而它们会完全服从你的命令。每个仆从都可以完成一个普通人程度的工作，但它们不能攻击或者进行任何直接伤害其他生物的行动。因而仆从可以完成的工作包括：取来物品、清洁、修理、叠衣服、生火、上菜、倒酒等等。仆从可以去豪宅中的任何地方，但不能离开宅子。由该法术创造的家具和其他物品如果被移出豪宅，就会消散成烟雾。该法术终止时，任何处于该异次元空间内的生物都将被移出空间内，并出现在距离入口最近的开放空间内。</t>
  </si>
  <si>
    <t>• 你在施法距离内创造出一个闪闪发光的剑形力场，并使其在法术持续时间内维持存在。
• 秘法剑出现时，你可以对该剑5尺内的一个自选目标发动一次近战法术攻击。命中时，目标受到3d10点力场伤害。在法术持续时间内，你可以在自己回合使用一个附赠动作将剑移动至多20尺。移动的目的地你必须能够看见，而移动完成后你还可以对同一目标或不同的目标再发动一次该攻击。</t>
  </si>
  <si>
    <t>• 你和至多八个自愿生物手拉手站成一圈，然后被传送到一个不同的存在位面中。你可以概括地指名一个目的地（比如火元素位面的黄铜城，或者九层地狱第二层迪斯帕特的宫殿），然后你将出现在目的地里或其附近附近。假设你想到达黄铜城，按照DM的判断，你可能会传送到达它的钢铁大道上，或它的灰烬之门前，又或者与城市隔着火焰之海相望之处。
• 另外，如果你知道某个处于另一位面的传送法阵的印记序列，则该法术可以把你带到该法阵处。如果该传送法阵太小而装不下所有你传送的生物，则他们会出现在离传送法阵最近的未占据空间里。
• 你可以用该法术放逐一个非自愿的生物到另一位面。指定一个你触及范围内的生物并对它进行一次近战法术攻击。命中时，此生物必须进行一次魅力豁免。豁免失败者将被传送到你指定位面的一个随机地点。被这样传送走的生物必须自行寻找回到你现在位面的路。</t>
  </si>
  <si>
    <t>• 你说出饱含力量的真言，引发距离内一个你可见生物的剧痛。如果目标的生命值为100点或更少，它将遭受强烈的痛苦。否则，法术将对它没有作用。免疫魅惑的生物同样不受该法术影响。
• 如果目标承受了这种痛苦，他所拥有的任何速度都不能超过10尺。目标在攻击检定、属性检定和除了体质豁免以外的豁免检定中承受劣势。最后，如果目标试图施法，它必须先成功进行体质豁免检定，否则它将施法失败，法术会被浪费。
• 承受了这种痛苦的目标在它的每个回合结束都可以进行一次体质豁免检定。如果豁免成功，痛苦将结束。</t>
  </si>
  <si>
    <t>• 八条多彩射线从你的手上闪出。每条射线颜色不同且具有不同的威力和作用。在60尺锥状区域内的每个生物必须进行一次敏捷豁免同时掷一次d8决定生效哪种颜色的射线。
• 1.红 Red：目标豁免失败时受10d6点火焰伤害，成功则伤害减半。
• 2.橙 Orange：目标豁免失败时受10d6点强酸伤害，成功则伤害减半。
• 3.黄 Yellow：目标豁免失败时受10d6点闪电伤害，成功则伤害减半。
• 4.绿 Green：目标豁免失败时受10d6点毒素伤害，成功则伤害减半。
• 5.蓝 Blue：目标豁免失败时受10d6点冷冻伤害，成功则伤害减半。
• 6.靛 Indigo：目标豁免失败时受束缚。它必须在其每回合结束时进行一次体质豁免。三次豁免成功后法术终止。三次豁免失败后目标将永久陷入石化状态。成功或失败的豁免不需要连续，只需记下两边的数量直至其中一种达到三次。
• 7.紫 Violet：目标豁免失败时陷入目盲。其必须在你下一回合开始时进行一次感知豁免。豁免成功则目盲状态终止。豁免失败则该生物被传送到另一个DM指定的位面并且不再目盲。（典型情况是不在家乡位面的生物被驱逐回家，而其他生物通常会被传送到星界或以太位面。）
• 8.特殊：目标被两条射线打中。再掷两次，结果为8时再重掷。</t>
  </si>
  <si>
    <t>• 你创造一个自己的幻象分身，并使其在法术持续时间内维持存在。该分身可以出现在施法距离内你曾见过的任何地点，而不论中间是否存在障碍物。该幻象外观和声音与你一样，只是没有现实形体。幻象受到伤害时会立即消失并终止法术。
• 你可以用你的动作移动该分身至多两倍于你速度的尺数，而其姿态、言语和行为均按照你的指定作表现。此外幻象还可以完美的模仿你的举止。
• 你可以通过分身的眼睛视物，用分身的耳朵聆听，如同你处于它的位置一样。你可以在自己回合内以一个附赠动作在自己与分身的感官间切换。而当你使用分身的感官时，本体周边的事物对你而言等同于处于目盲且耳聋的状态。
• 由于幻象无法被碰到，任何与该幻象进行的物理互动都会暴露其幻觉本质。一个生物用其动作调查幻象时，它可以进行一次对抗法术豁免DC的智力（调查）检定，以判定是否看穿幻象。辨出幻象的生物可以看穿该影像，其产生的声响对该生物而言显得虚假。</t>
  </si>
  <si>
    <t>• 你触碰一个生物并加快其自愈速度。目标恢复4d8+15点生命值。在法术持续时间内，目标在它的每回合开始时回复1点生命值（每分钟10点）。
• 如果目标失去了某些身体部位（手指、腿、尾巴等等），则这些部位将在2分钟后会重新长出。如果你持有失去的身体部位并且将其手动固定到创口上，则该法术会使该身体部位和创口立即接合。</t>
  </si>
  <si>
    <t>• 你触碰一个已死的生物，并使之复活。该目标的死亡时间必须没有超过一百年，其死因不能是老死，且不能是不死生物。此时，如果该生物的灵魂愿意并且能够回来，则受术生物以生命值全满的状态复活。
• 该法术同样会中和该生物生前体内的毒素以及罹患的普通疾病，但对于魔法造成的疾病、诅咒和类似的效应则无能为力；如果没有在复活前治愈这些效应，则该生物重获生命的时该效应将继续生效。
• 该法术能治愈致命的伤口，也能恢复失去的身体部位。
• 死而复生是一个痛苦的体验。复活的目标在随后进行攻击检定、豁免检定和属性检定时具有－4减值。该目标每完成一次长休，其减值就减少1，依次叠加直至减值完全消失。
• 使用该法术复活一个已死去一年或更久的生物会使你耗费大量精力。你将无法在完成一次长休前再施放任何法术，且此时你进行的一切攻击检定、属性检定和豁免检定具有劣势。</t>
  </si>
  <si>
    <t>• 该法术以施法距离内一点为中心，创造一个半径50尺、高100尺柱状的重力反转区域。施展该法术时，区域内一切没有被固定在地面上的生物和物件都会向上落去，直到碰到该区域顶端为止。受术生物可以进行一次敏捷豁免以抓住一件他能触及的固定物件，从而避免向上坠落。
• 如果在坠落过程中遇到任何固体（比如天花板），则坠落的物体和生物会受到同样情况下正常坠落时所会受到的冲击。如果一个物体或生物到达该区域的顶部并且没有撞到任何实体，则它将停留在该处并微微振动，直至法术终止。法术持续时间结束后，受术物件和生物将重新坠落下来。</t>
  </si>
  <si>
    <t>• 该法术能够将一个自愿的生物或物体藏匿起来，使其在法术结束前都无法被侦测。施展该法术并且触碰目标时，目标变为隐形且不能被作为预言系法术的目标，也无法被预言系法术创造出的传感器所感知。
• 如果法术的目标是一个生物，则目标将进入假死状态。时间在受术者的世界中停止了流动，因此它不会衰老。
• 你可以设置一个让该法术提前终止的条件。该条件由你自由设定，但必须是发生在目标周围1里内或目标在周围一里内能看见的事件。例如：“1000年以后”或者“当泰拉斯奎巨兽觉醒时”。如果受术者受到任何伤害，则该法术立刻终止。</t>
  </si>
  <si>
    <t>• 你花费整段施法时间为施法距离内一个野兽或类人生物塑造出一个幻像分身。该分身是一个由冰雪构成的半真实生物，它可以执行动作，也能在其他方面如同正常生物一样受到各种影响。它与其本体生物看起来一样，但是其生命值上限只有本体一半，而且在成型时不带任何装备。除此之外，幻象分身的属性数据都与本体相同。
• 拟像对你和你所选定的生物保持友好关系。它会服从你说出的命令，按照你的愿望行动，在战斗中还会在你的回合行动。拟像无法学习，也不知道如何变得更强大，因此它永远不会升级，其他能力也不会变得更强，而它用掉的法术位也不能恢复。
• 拟像受损后，你可以在炼金实验室里修理它。拟像每恢复一点生命值就要消耗价值100gp 的稀有矿物和药草。拟像会一直持续到其生命值降至0，随后就变回冰雪并立刻融化。
• 再次施放该法术时，任何你已用该法术创造出来并且正在活动中的分身都会立刻被摧毁。</t>
  </si>
  <si>
    <t>• 施展该法术时，你在某个表面（诸如桌面、地板、墙等）或某个能被关闭以隐藏符纹的物件里（诸如书本、卷轴、宝箱等）刻画一个伤害其他生物的符纹。如果你指定某个表面，则此符纹可以覆盖周边不超过10尺直径的区域。如果你指定某个物件，则该物件必须待在其所在位置；如果该物件从被施法位置被移动超过10尺，则其符纹被破坏且法术不被触发即刻终止。
• 该符纹近乎隐形，其需要以法术的豁免DC进行一次智力（调查）检定才能被发现。
• 你在施法时设定该符纹的触发条件。刻画于表面的符纹其最典型的触发条件包括：触碰或站立在符纹上；拿掉覆盖在符纹上的物件；进入符纹一定施法距离；操作符纹所在的物件等。刻画在物件内的符纹其最典型的触发条件包括：打开物件；靠近物件一定的距离；看到或阅读该符纹等。
• 你可以进一步细化触发条件，比如设定法术触发时符合特定的条件，或设定其触发者必须具备特定身体特征（身高体重等），特定生物种类（例如设定为只影响异怪或卓尔）或特定阵营。你还可以将特定条件者排除在符纹触发者之外，诸如某说出特定口令的人。
• 刻画符文时，你可以从下列选项中选择其一作为该法术的效应。符文一旦被触发就会开始发光，使其周围60尺半径的球状区域处于微光光照并持续10分钟。该时间段过后法术即告终止。符文生效时，所有位于球状区域内的生物即成为法术效应的目标。生物在其回合内第一次进入该区域内或在其中结束其回合时，也同样会成为符文效应的目标。
• 死亡 Death：所有目标必须进行一次体质豁免，豁免失败者将受到10d10点黯蚀伤害，豁免成功则伤害减半。
• 争斗 Discord：所有目标必须进行一次体质豁免。豁免失败者将在接下来的1分钟内将不停地与其他生物争吵。该时间段内它无法进行任何有意义的沟通，并且其进行的所有攻击检定和属性检定都具有劣势。
• 恐惧 Fear：所有目标必须进行一次感知豁免，豁免失败者将陷入1分钟的恐慌状态。被恐慌时，该生物将丢弃其所有持握物，并在其每回合里尽力向远离符文的方向移动至少30尺。
• 绝望 Hopelessness：所有目标必须进行一次魅力豁免，豁免失败者将陷入持续1 分钟的绝望。该时间段内它不能进行攻击，也不能对任何生物使用伤害性的能力，法术或其他魔法效应。
• 错乱 Insanity：所有目标必须进行一次智力豁免，豁免失败者将陷入持续1分钟的错乱。陷入错乱的生物不能执行动作，也听不懂其他生物的话语看不懂任何文字，而只会胡言乱语。此时将由DM来控制其胡乱的移动。
• 苦痛 Pain：所有目标必须进行一次体质豁免，豁免失败者将因极度的痛苦而陷入1分钟的失能状态。
• 睡眠 Sleep：所有目标必须进行一次感知豁免，豁免失败者将陷入10分钟的昏迷状态。该睡眠者受到伤害时将会被惊醒，也可以被其他人用一个动作摇醒或打醒。
• 震慑 Stunning：所有目标必须进行一次感知豁免，豁免失败则陷入1分钟的被震慑状态。</t>
  </si>
  <si>
    <t>• 你让一座神庙在闪耀的光辉中出现。选择施法距离内一处你可见的地面，为了容纳神庙这个空间必须是一个未被占用的立方体，每边至少120尺长。神庙维持到法术结束。它被用于供奉施法时所用圣徽体现的神明、众神或是哲学理念。
• 你可以对这座神庙的外观做出所有决定。它的内部被地板、墙壁和屋顶所包围，有一扇作为入口的门扉和任意数量的窗户，如你所愿。只有你或任何你在施法时指定的生物可以开启或关闭这扇门。
• 神庙的内部是个开放性空间，在一端摆放着神像或者是祭坛。你决定神庙是否被照亮，决定照亮神庙的是明亮光照还是微光光照。这里的温度适宜，熏香的气味弥漫在空气中。
• 在你施展该法术的时候，你选择数种生物类型被神庙所敌对。从以下列表中选择一项或更多：天界生物，元素生物，精类生物，邪魔，或是不死生物。如果选定类型的生物试图进入神庙，它必须立即进行一次魅力豁免检定。若豁免失败，他在24小时内不能进入神庙。即使生物能够进入神庙，魔法的力量也会妨碍它；每当它在神庙里进行攻击检定，属性检定或者是豁免检定时，它必须额外骰一个d4骰，把那个数值从d20的结果中减去。
• 此外，预言系法术所创造的传感器不能在神庙中出现，并且神庙里的生物无法被预言系法术定位。
• 最后，每次在神庙里的任何生物从1环或更高环的法术中恢复生命时，它将额外恢复等同于你感知调整值的额外生命值（至少1点）。
• 神庙由不透明的魔法力场所创造并延伸至以太位面，因此会阻碍任何试图从以太旅行中进入神庙内部的行为。没有东西能物理性地穿过神庙的外部。它不会被解除魔法Dispel Magic所解消，也不会受到反魔法力场Antimagic Field的影响。一道解离术Disintegrate能立即摧毁神庙。
• 如果你在一年中每天都对同一地点施展该法术，法术的效果将持续永久。</t>
  </si>
  <si>
    <t>• 两个施法距离内的你能看见的生物必须进行一次体质豁免，若两者在30尺内，则他们的豁免检定具有劣势。每个生物都能自愿放弃豁免。若两者中有一个豁免成功了，那么法术没有效果。若两人豁免均失败了，那么他们便会在法术持续时间内魔法般地被连接在一起，无论两人间距多少。 若其中一人受到伤害 ，另外一人也会受到等额的伤害。若其中一人恢复了生命值，另外一人也会恢复等额的生命值。
• 如果被系结的双方中任意一方的HP减少到了0，那么该法术结束。该法术在任意一方身上结束时，另外一方的法术也结束。</t>
  </si>
  <si>
    <t>• 伴随着一声咆哮，你用龙族的魔法变化自身，获得多种龙族特征。直至法术结束，你获得以下增益：
→盲视：你获得30尺盲视。此范围内，任何不处于全身掩护后的东西对于你来说清晰可见，即使你处于目盲状态或黑暗中。此外，你可以看见隐形的生物，除非该生物对你处于躲藏状态。
→吐息武器：当你施展此法术时，以及在法术持续时间内随后的回合内，你能用一个附赠动作呼出闪光能量并覆盖60尺锥形区域。区域内的每个生物都必须成功通过一次敏捷豁免，否则受到6d8点力场伤害，豁免成功则伤害减半。
→飞翼：虚体的飞翼从你背后长出，使你获得60尺飞行速度。</t>
  </si>
  <si>
    <t>• 你从以距离内由你指定的一点为中心、30尺立方空间内的每个生物身上抽取水汽。在该区域内的每个生物必须进行一次体质豁免检定。构装生物和不死生物不受影响，而植物和水元素在进行此豁免检定时具有劣势。若豁免失败，生物将受到12d8点黯蚀伤害，而豁免成功则只受到上述伤害的一半。
• 在这个区域内的非魔法、非生物植物，例如树木和灌木，会立即死亡。</t>
  </si>
  <si>
    <t>• 你施法把其他生物变成野兽。指定施法距离内任意数量的自愿生物，并使每个目标变形为一只挑战等级不超过4，体型不大于大型的野兽。你可以在法术持续时间内以一个动作将受术生物变成其他野兽形态。
• 每个受术生物的变形效应持续至法术终止，其生命值降至0或是死亡时，法术效应也将随之终止。你可以分别为每个目标选择不同的形态。而目标的游戏资料则以所选野兽的游戏资料作替换，并保留其本来的阵营，以及智力、感知和魅力值。目标将使用新形态的生命值。而当其变回通常形态时，该目标的生命值也恢复为变形前的数值。如果目标是因为生命值降至0 而变回通常形态，则由通常形态承受溢出的伤害。只要溢出伤害不足以将通常形态生命值降至0，他就不会因此而昏迷。受术生物只能使用新形态的动作，且无法说话或施法。
• 目标的装备融入其新形态，而且不能激活或持用装备，也无法以其他任何方式从其装备上获益。</t>
  </si>
  <si>
    <t>• 半径10尺的隐形球状反魔法能量环绕着你，将该区域与弥漫在多元宇宙间的魔法能量隔离开来。在该球状力场内：法术无法施放；召唤生物消失无踪；魔法物品也失去其效应。该力场以你为中心移动，直至法术终止。
• 除非其来自神器或神祇本身，否则任何法术和魔法效应都将在力场内受压制而无法波及力场内部。在力场内施放的法术，其效应被压制的同时其使用的法术位依然被消耗。被压制的魔法效应不会生效，但其持续时间仍然如常计算。
• 目标效应 Targeted Effects：法术或其他魔法效应以生物或物件为目标时（比如魔法飞弹 Magic Missile和魅惑人类 Charm Person），无法对力场内的目标生效。
• 魔法区域 Areas of Magic：法术和其他魔法效应产生的区域影响（比如火球术 Fireball），无法波及力场内部。如果力场与某一魔法效应重叠，则该效应在重叠部分被压制。例如，当力场与火墙术产生的火焰重叠时，重叠区域的火焰被压制。如果重叠区域够大，甚至可以将火墙从中间截断。
• 法术 Spell：力场中的生物或物件身上生效的法术或其他魔法效应会受到压制。
• 魔法物品 Magic Item：魔法物品的属性和威能在力场中受到压制。例如，一把+1长剑在力场中视为一把非魔法长剑。用以攻击力场内目标，或被力场内攻击者持用的魔法武器，其属性和威力将受到压制。如果一把魔法武器或是一发魔法弹药完全离开力场范围（例如，你从力场内向力场外的某个目标发射一支箭矢或是投掷一把标枪），则其中的魔法将在离开力场的瞬间得以恢复。
• 魔法旅行 Magic Travel：以力场内区域为起点或终点的传送或位面旅行效应无法生效。在力场内，通往某地、某世界或某位面的传送门，以及次元空间的入口（诸如魔绳术 Rope Trick所创造的区域）都被暂时关闭。
• 生物和物件 Creatures and Object：在力场内，由魔法创造或召唤的生物或物件暂时消失。如此消失的生物，在力场不再覆盖其所占据空间时立刻在该处重新出现。
• 解除魔法 Dispel Magic：法术和其他魔法效应产生的类似法术解除魔法 Dispel Magic的效应对力场无效。另外，不同来源的反魔法力场 Antimagic Field之间不会相互抵消。</t>
  </si>
  <si>
    <t>• 此法术吸引或驱赶你指定的生物。在施法距离内指定一个巨型或更小体型的物件或生物，或是一处不超过200尺的立方区域。你指定一类智慧生物（例如红龙、地精、吸血鬼等），并为目标注入能吸引或是驱赶所选类型生物的灵光。你可以选择嫌恶或是关怀作为法术的效应。
• 嫌恶 Antipathy：法术的影响让你选定类型的生物不可遏止的想要远离受术目标。当符合条件的生物看到目标或是距离目标不足60尺时，该生物必须进行一次感知豁免并成功通过，否则将陷入恐慌。只要还能看到目标或是在目标60尺内，该生物就会维持恐慌状态。陷入该恐慌状态的生物必须自主移动至附近无法看到目标的安全地点。离开目标至少60尺且无法看到目标后，该生物的恐慌状态终止。但再次看到目标或是进入目标60尺内时他也将再次陷入恐慌。
• 关怀 Sympathy：法术的影响让你选定类型的生物不可遏止的想要接近受术目标。当符合条件的生物看到目标或是距离目标不足60尺时，该生物必须进行一次感知豁免并成功通过，否则便会每回合自主移动并靠近目标。靠近后，该生物不能自主的远离目标。
• 若目标对该生物造成伤害或是以其他方式对其造成危害，则该生物可以再进行一次感知豁免以终止效应，详情见下节。
• 终止效应 Ending the Effect：如果受影响的生物在距离目标60尺外或是无法看到目标的地方终止其回合，则其可以进行一次感知豁免，豁免成功则不再受法术影响并意识到厌恶感或诱惑力是来自魔法的影响。另外，在法术持续时间内，受影响的生物每24小时可以再进行一次感知豁免。
• 对该法术效应豁免成功的生物在1分钟内免疫该效应，但随后仍会受该效应影响。</t>
  </si>
  <si>
    <t>• 此法术用以培养一个活体生物的无意识复制体作为其死亡时的保险措施。该克隆体在一个密封容器中成长，并在120日后成熟；你还可以为同一个生物制作较年轻版本的肉体。在容器未被影响的情况下，该躯体会永远保持无意识的静止状态。
• 克隆体成长成熟后，如果本体生物死亡，则其灵魂转移到克隆体中，前提是该灵魂必须保持自由且自愿复活。克隆体的肉体特质与本体相同，并具有相同的个性、记忆和能力，但并不拥有本体随身的装备。由于灵魂已经转移到别处，该生物原本的遗体（如果依然存在）失去活力，且不能被复活。</t>
  </si>
  <si>
    <t>• 该法术在施法距离内以你选择的一点为圆心创造一个球形范围。该圆形半径至多为40尺。区域内充斥着魔法黑暗与毁灭性的重力能量。
• 法术持续时间内，球形区域内视为困难地形。一个拥有黑暗视觉的生物没法看透这片魔法黑暗，非魔法的光源无法点亮这片区域。该区域内没法发出声音，声音也没办法穿过该区域。任何完全处于该区域内的生物或物件免疫雷鸣伤害，并且生物完全处于该区域内时处于耳聋状态。在该法术的影响范围内没有办法施展需要语言成分的法术。
• 任何在自己回合中第一次进入该区域的生物或在该区域内开始其回合的生物需要进行一次体质豁免。若豁免失败，该生物受到8d10点力场伤害，成功则只受到一半伤害。当一个生物的HP被该法术降低到0时，该生物被解离。被解离的生物与其身上穿着的，携带着的一切，除了魔法物品外，都会化为一缕灰色的烟尘。</t>
  </si>
  <si>
    <t>• 你在施法距离内一处能看见的平面上创造一扇形状模糊的门。门的大小足以让中型生物在其间通行无阻。门开启时，其通向一个边长30尺，由木质或石质组成的空房间半位面。法术终止时，门消失不见，而半位面中的门也消失不见，并把任何还在半位面的生物或物件困在其内。
• 你每次施展此法术时都可以创造一个新的半位面，也可以连向用此法术创造的旧有的半位面。另外，如果你知晓了某个其他生物用此法术创造的半位面，则你也可以通过此法术连接到那里。</t>
  </si>
  <si>
    <t>• 你试图安抚一个施法距离内你能看见的生物，必须成功通过一次感知豁免，否则将在法术持续时间内被你魅惑。若它正与你或你的友方生物战斗，则其进行该豁免时具有优势。
• 该生物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升环施法效应：使用9环法术位施展该法术时，持续时间变为：专注，至多8小时。</t>
  </si>
  <si>
    <t>• 指定施法距离内一个你能看见的生物，并尝试摧毁其理智与人格。目标受4d6点心灵伤害且须进行一次智力豁免。
• 豁免失败时，该生物的智力和魅力变为1。受术生物将不能施法，也不能启动魔法物品，甚至不能听懂语言或以智慧方式沟通。但该生物仍可以辨识、跟随伙伴，甚至保护他们。
• 受术生物每过30日即可在当日结束时重新进行一次豁免，豁免成功则该法术效应终止。
• 另外，高等复原术 Greater Restoration，医疗术 Heal或者许愿术 Wish可直接终止该法术的效应。</t>
  </si>
  <si>
    <t>• 直至法术终止前，你每次进行魅力检定时可以用15代替你掷出的数值。此外，无论你说什么，判断你是否说谎的魔法都会将你的话视为真实。</t>
  </si>
  <si>
    <t>• 神圣的光芒从你身体中奔涌而出，在你身边汇聚成半径30尺的柔光。施展该法术时，你指定处于柔光范围内的若干生物。被指定生物散发出半径5尺的微光光照，且其进行的所有豁免均具有优势，而其他生物对它们进行的攻击检定具有劣势。该效应将持续至法术终止。另外，当一个邪魔或不死生物以近战攻击命中受术生物时，其灵光将产生耀眼的爆发，而攻击者必须进行一次体质豁免，豁免失败者将陷入目盲直至法术终止。</t>
  </si>
  <si>
    <t>• 你汇聚、编织从堕影冥界收集的阴影物质，随后在施法距离内你可见的未占据空间创造出巨型阴影龙。这个幻象会占据所在空间并持续到法术结束，就好像是一个真实生物。
• 当幻象出现时，任何可以看见幻象的你的敌人必须成功进行感知豁免检定，否则将在1分钟内陷入恐惧。如果被恐惧的生物在与幻象没有视觉线相连的位置并结束回合，它可以重新进行豁免检定，成功将终止对自己的恐惧效果。
• 在你的回合中以一个附赠动作，你可以移动幻象最多60尺。选择它进行移动的任意一点，你可以使它以那个位置作为起源点并喷吐出60尺锥形的爆发性能量。在你创造巨龙时选择一种伤害类型：强酸，冷冻，火焰，闪电，黯蚀或者毒素。处于锥形范围内的每个生物必须进行智力豁免检定，若豁免失败会受到7d6点对应类型的伤害，成功只承受一半。
• 幻象是有形的因为它由阴影物质创造而成，不过对它的攻击会自动失手。它会通过所有豁免检定，并且免疫所有的伤害和异常状态。一个生物可以用动作来进行智力（调查）检定对抗你的法术豁免DC来判断巨龙是否为幻影。如果生物识别了幻象的真相，生物可以看穿它并在对抗它的吐息时获得优势。</t>
  </si>
  <si>
    <t>• 一片充满了炽热灰烬的旋转烟云显现，并以施法距离内一点为中心的蔓延至半径20尺的球状区域。烟云会绕过拐角扩散并使整个区域处于重度遮蔽，并在法术终止前持续存在。此外烟云还可以被和风或强度等级更高的风势（风速至少每小时10里）所吹散。
• 烟云出现时，每个处在其内的生物都必须进行一次敏捷豁免，豁免失败者将受到10d8点火焰伤害，豁免成功则伤害减半。生物在一个回合内第一次进入烟云内，或者在烟云内结束其回合时，也必须进行该豁免。
• 在你的每回合开始时，烟云会向你指定的方向直线移动10尺。</t>
  </si>
  <si>
    <t>• 魔法黑暗从范围内你指定的一点延伸至半径60尺的球形范围，直到法术结束。黑暗会蔓延过拐角。生物的黑暗视觉不能看穿这片黑暗。非魔法的光源，以及8环和8环以下法术创造的光亮不能照亮这片区域。
• 尖叫声，低语声，以及疯狂的大笑声时不时能从球形范围内听见。每当一名生物在范围内开始回合，它必须进行一次感知豁免，失败时将受到8d8心灵伤害，成功则只承受一半。</t>
  </si>
  <si>
    <t>• 你将施法距离内一个你能看见的生物放逐到一个迷宫般错综复杂的半位面。目标将一直留在该处直至法术持续时间结束，或者直到它逃出该迷宫。
• 目标可以使用其动作尝试逃出迷宫。此时它可以进行一次DC20的智力检定，检定成功者将逃出迷宫，而该法术随之终止。牛头人和巨牛魔进行该检定时直接成功。
• 法术终止时，目标将重新出现在它之前消失的位置。如果该位置被占据，则目标出现在最近的未占据位置。</t>
  </si>
  <si>
    <t>• 一座岩石的堡垒从施法距离内你选择的一处可见的方形地面升起。这块区域需要在每一边上有至少120尺，并且必须没有任何建筑或其他构造物立于其上。所有处于区域内的生物在堡垒升起时将会被无害地举起。
• 这座堡垒有4个方形的塔楼，每一个都有20尺的边长和30尺的高度，分布在堡垒的每个角上。塔楼通过每边80尺长的石墙相互连接，创造出一个封闭的区域。每一面墙的厚度都达到1尺，由10尺宽度和20尺高度的石板组成。每块石板都与其他两块石板或是与一块石板和一座塔楼相邻接。你可以在堡垒的外墙放置4面石门。
• 在封闭区域内树立着一座小城堡。城堡拥有50尺边长的方形基座，并且有3层楼，每一层的天花板都有10尺高。每一层都可以以你喜欢的方式划分出许多房间，但每个房间都至少要有5尺的边长。城堡的每一层都由石头楼梯相连，它的墙厚达6英寸，室内房间的门户式样（石门或者开放式拱门）由你选择。城堡内部的家具和装潢以你喜欢的方式布置，它每天可以提供足够100人享用的、包含九道菜肴的盛宴。从堡垒中被带走的家具、食物和其他由该法术创造的物体会立即化为土灰。
• 你在施展法术时可以指定任意生物，有100个隐形的侍从作为堡垒的职工遵从他们的任何命令。每一个侍从都如同隐形仆役法术的造物，有近似的功能。
• 所有由石头创造的城墙、塔楼和城堡都会被损害。每一块10尺x10尺的岩石部件都有15点AC，以及每英寸厚度30点的生命值。它免疫毒素和心灵伤害。将某一部分的岩石生命值降低至0点会摧毁它，并且也许会引起与它连接的部分变形和垮塌，具体由你的DM裁量。
• 在7天之后，或当你在别处再次施展该法术，堡垒会无害地坍塌并沉入地面，把其中的任何生物安全地留在地上。
• 在一年之间，每7天一次在相同的位置施展该法术会让堡垒永久存在。</t>
  </si>
  <si>
    <t>• 直至法术终止前，你所触碰的一个自愿生物对下列项目具有免疫：心灵伤害；任何可以感知到其情绪或阅读其思想的效应；预言法术；魅惑状态。当目标受祈愿术 Wish或者其他威力相当的法术或效应影响心智或窃获信息时，其也能以该法术进行阻挡。</t>
  </si>
  <si>
    <t>• 你说出一蕴含威力的单词，其足以使施法距离内一个你能看见的生物意志受压迫而震惊。如果你所指定的生物现有生命值为150或更少，则其被震慑。否则该法术不产生任何效应。
• 被震慑目标必须在其每回合结束时进行一次体质豁免。豁免成功，则此震慑效果终止。</t>
  </si>
  <si>
    <t>• 你将现实与时间线之间的壁垒粉碎，使一个生物陷入混沌与疯狂。目标必须通过一个感知豁免，否则将无法执行任何反应直到法术结束。被影响的生物必须在其回合开始时roll一个d10，其结果决定目标身上发生了什么，参照下方表格“崩坏现实效果”。
• 在其回合结束时，受影响的生物能重复其感知豁免，若成功，则法术结束。
崩坏现实效果
d10   效果
1–2   遥远国度之瞥。目标受到6d12点心灵伤害并且陷入震慑到本轮结束。
3–5   崩碎裂缝。目标必须通过一个敏捷豁免，若失败则受到8d12点力场伤害，若豁免成功则受到一半伤害。
6–8   虫洞。该目标与其身上所着装、携带的一切东西被传送到他30尺内你能看到的未被占据的空间。目标受到12d10点力场伤害并倒地。
9–10   暗虚之冻。 目标受到12d10点冷冻伤害并且目盲到本回合结束。</t>
  </si>
  <si>
    <t>• 灿烂的阳光照耀施法距离内指定的一点为中心周围60尺半径的区域。所有位于该光芒中的生物必须进行一次体质豁免。豁免失败者将受到12d6点光耀伤害，并陷入1分钟的目盲状态。
• 豁免成功则伤害减半，且不会陷入目盲。不死生物和泥怪进行该豁免时具有劣势。
• 因该法术陷入目盲的生物在其每回合结束时都可以再进行一次体质豁免。豁免成功则不再目盲。
• 该法术将驱散法术区域内所有由法术所创造的黑暗。</t>
  </si>
  <si>
    <t>• 你与一个你熟识的自愿生物建起心灵连接。该生物可以身处你所在的位面的任意位置。一旦你与目标生物不再位于同一位面则该法术随即终止。
• 直至法术终止前，你可以和目标生物通过心灵连接即时共享任何言语、图像、声音以及其他形式的感官信息，而目标也能够辨认出与之交流的对象正是你本人。该法术可以让智力值至少为1的目标生物理解你的言语并接收任何你所发送的感官信息。</t>
  </si>
  <si>
    <t>• 你指定施法距离内一点并从中升起一面水墙。水墙长不过300尺，高不过300尺，厚不过50尺，且持续存在至法术终止。
• 水墙出现时，所有位于水墙内的生物都要进行一次力量豁免。豁免失败者将受到6d10点钝击伤害，豁免成功则伤害减半。
• 水墙出现后，将在你每一回合开始时带着其内的所有生物一起向远离你的方向移动50尺。当水墙进入一个巨型或更小体型生物所占据空间，或他们原本就处于墙内时，该生物必须进行一次力量豁免，豁免失败则受到5d10点钝击伤害。该伤害一轮里对同一个生物只生效一次。在你的回合结束时，水墙的高度减少50尺，且其随后每轮对生物造成的伤害也减少1d10。当水墙高
度变为0尺时法术终止。
• 淹没在水墙中的生物可以用游泳的方式移动，由于波涛阻力影响，该生物必须要进行一次对抗该法术DC的力量（运动）检定以决定起能否成功移动，而检定失败者则无法移动。通过移动离开水墙区域的生物会直接掉到地上。</t>
  </si>
  <si>
    <t>• 你和施法距离内至多八名自愿的生物将躯体投影到星界（如果你已经在星界，则法术失败且被消耗）。你原本的躯体昏迷并进入静止状态，即其不需要空气和食物也不会衰老。
• 你的星界躯体几乎完美的保持了原本的形态，并保留你本体的游戏资料和随身物。星界躯体和你本体的主要区别是从你肩胛骨间向后伸出的一条银线。这条可见长度仅有一尺的银线是你星界躯体和本体间的联系。只要银线保持完好，你总能找到回原本世界的路。只有明确注明可以切断这种银线的效应才可以将其切断。切断银线会将你的灵魂和躯体分离，并将你杀死。
• 你的星界躯体可以在星界任意旅行，并能穿过星界的传送门到达其他位面。如果你到达一个新位面，或是回到你施法时所在的位面，你的本体和物品将沿着银线被传送，使你以本体的形态到达新位面。你的星界躯体是单独的实体。星界躯体承受的伤害或效应不会反映在你的本体上，也不会在你回到本体时保持。
• 你可以使用一个动作来解散法术，并终止其对你与同伴产生的效应。法术终止时，受术的生物回到其原本的躯体并苏醒。
• 你或你的某位同伴会存在提前终止法术效应的情况。对某生物的本体或星界躯体成功施展解除魔法 Dispel Magic将终止生物的投影效应。如果某生物的本体或星界躯体的生命值降至0，则该生物自身的投影效应终止。如果法术终止时银线依然保持连接，则受术生物会被拉回原本的躯体，并脱离静止状态。
• 如果你在法术终止前被送回本体，你的同伴将被留在星界，只能自行返回（通常通过生命值降至0 的方式）。</t>
  </si>
  <si>
    <t>• 你在法术范围内你能看见的一个未被占据的创造出一把形态如同剑一般的，长约3尺的位面裂缝。该剑刃持续存在，直至法术结束。当你施展此法术时，你可以用该剑刃进行至多两次近战法术攻击，每次攻击的目标为位于剑刃5尺内的一个生物、未被携带的物件或建筑。若命中，则目标受到4d12点力场伤害。该攻击在d20投出18或更高时造成重击，并在重击时造成额外4d12点力场伤害（共计12d12点力场伤害）。
• 你可以在自己回合内以一个附赠动作让该武器移动至多30尺到一个你可以看见的未被占据的空间，随后再用其进行两次近战法术攻击。
• 该剑刃可以无害地通过任何屏障，包括一道力场墙。</t>
  </si>
  <si>
    <t>• 你触碰一个自愿生物，并授予其预示最近未来事件的有限能力。该目标在法术持续时间内无法被突袭，并且其进行的攻击检定、属性检定和豁免检定均具有优势。而其他生物对其进行攻击检定时具有劣势。
• 如果你在法术持续时间结束前再施展该法术，则原法术效应即时终止。</t>
  </si>
  <si>
    <t>• 你召唤一扇传送门将施法距离内你能看到的一处未被占据空间与一个不同位面的特定地点连接在一起。传送门是你打开的一个直径5到20尺的圆形开口。其开口朝向你指定的任意方向，并持续至法术终止。
• 传送门在某个位面显现时有着明确的正反面。只有从正面穿过传送门的事物才能实现其传送功能，从而传送至另一位面，并在离传送门最近的未占据空间中显现。
• 神祗和其他位面统治者可以阻止该法术在其所在或属于其领域的任何地点创造传送门。
• 施展该法术时，你可以说出某个特定生物的名字（不能是假名、头衔、绰号等）。如果该生物在与你不同的位面，则传送门会紧挨被指名生物打开并将该生物吸进传送门。此时该生物会从你所在的传送门另一头出现，并显现在距传送门最近的未被占据空间。你不会获得任何被传送生物的特殊能力，而它此时可以自由的作任何DM认为合适的行动。它可能离开，也可以攻击你或协助你。</t>
  </si>
  <si>
    <t>• 你创造一个魔法监牢，将施法距离内一个你能看见的生物监禁于其内。目标必须进行一次感知豁免，豁免失败则被该法术禁锢；对于成功通过豁免的生物，若你再次对其施展该法术，则它对该法术免疫。被该法术禁锢时，目标生物不需要呼吸，不需要吃喝，也不会变老。预言法术也无法定位或感知到该目标。你在施展该法术时从下列选项中选择一种监牢的形式：
• 埋葬 Burial：目标被深埋在远离地表的球状魔法力场内，其大小刚好能包覆住目标。任何事物均无法穿过该力场，且任何生物均无法通过传送或位面旅行进出该力场。（特殊材料为一个秘银小球）
• 锁链 Chaining：沉重的锁链牢固地深植于大地，将目标禁锢在原地。目标被束缚至法术终止，其间它不能移动或以任何方式被移动。（特殊材料为一截精美的贵金属链）
• 避世监牢 Hedged Prison：该法术将目标传送至一个隔绝了传送和位面旅行的小型半位面。该半位面可以是一个迷宫，一间牢房，一座塔楼，或是任意由你选择的幽闭建筑或区域。（特殊材料为一个玉制的监牢微缩模型）
• 微缩牢笼 Minimus Containment：目标被缩小到1寸高，并囚禁于一块宝石或是类似的物件里。光线可以正常地穿透宝石（这让目标可以看到外面，其他生物也可以看到里面），但其他任何事物均无法在其内进出，即使是通过传送或位面旅行等手段也不行。只要法术仍然生效，该宝石就无法被切开或打碎。（特殊材料为一大块透明的宝石，例如刚玉，钻石或红宝石）
• 沉睡 Slumber：目标陷入昏睡且无法被唤醒。（特殊材料为稀有的催眠药草）
• 终止法术：无论是法术的哪个版本，你都可以在施法过程中设定一个使法术终止并释放目标的条件。此条件可以按你的意愿设定其明确或复杂的程度，但必须经由DM认可该条件的合理性及可实现性。此条件可以根据一个生物的名字，身份或神格来设定，但在其他方面必须基于可观察到的行为或特性，而不能基于诸如等级，职业或生命值这类无形之物。
• 法术解除魔法 Dispel Magic可以终止该法术，但只有使用9环法术位并针对监牢或针对创造监牢效果的特殊物质施展时才有效。
• 你在同一时间内，使用同一种特殊材料只能创造一个监牢。如果你使用了同样的材料再次施展该法术，则先前被监禁的生物立刻从禁锢中解脱摆脱恢复自由。</t>
  </si>
  <si>
    <t>• 你免疫所有伤害直到法术结束。</t>
  </si>
  <si>
    <t>• 泉涌般的治愈能量从你流向你周围受伤的生物。你为施法距离内任意数量你能看见的生物恢复总计至多700点生命值，而具体治疗量则由你随意分配。受该法术所治疗的生物其所有疾病以及导致它们目盲或耳聋的效应也一并被治愈。该法术对不死生物和构装生物无效。</t>
  </si>
  <si>
    <t>• 你可以转变施法距离内最多10个由你选择的可见生物。非自愿的目标必须通过一次感知豁免检定来对抗变形。非自愿的变形者（shapechanger）在这次豁免中自动成功。
• 每一个目标都获得由你选择的、相同或是不同的野兽形态。新的形态可以是你曾见过的、挑战等级低于或等于目标挑战等级任意野兽（如果目标没有挑战等级，那么上限是目标等级的一半）。这些目标的游戏数据，包括心智属性值，将被你所选择的野兽数据所取代，但仍然保留他们的生命值、阵营和人格。
• 每一个目标都得到等同于新形态生命值的临时生命值。这些临时生命值不能被其他来源的临时生命值替换。生物会在失去这些临时生命值或者死亡时变回原本的形态。如果法术在这之前结束，这些临时生命值也会失去且生物变回原形。
• 生物能进行的动作被它新形态的特质所限制。它将不能说话、施展法术、或是做其他需要用到手或言语的事情。
• 目标的装备融合进新形态，目标生物不能启动，使用，挥舞或其他方式从它的装备上获得增益。</t>
  </si>
  <si>
    <t>• 指定施法距离内四个你能看见的不同地点，并使熊熊燃烧的流星垂直坠落其地面。爆破的流星影响以指定点为中心，周边40尺半径的球状区域，区域影响会绕过拐角扩散。区域内的每个生物必须进行一次敏捷豁免。豁免失败者将受到20d6点火焰伤害和20d6点钝击伤害，豁免成功则伤害减半。另外，同时处于多个爆炸范围内的生物仍只受一次效应影响。
• 该法术会对区域内的物件造成伤害，并点燃所有未被着装或携带的易燃物。</t>
  </si>
  <si>
    <t>• 一波治疗能量覆盖你所触碰的生物，并使目标回复其所有的生命值。如果该生物正处于魅惑，惊惧，麻痹或震慑状态，则终止相应状态。如果该生物正处于倒地状态，则他可以执行其反应站起。该法术无法对不死生物和构装生物生效。</t>
  </si>
  <si>
    <t>• 你读出一威力满溢的单词，其足以使施法距离内一个你能看见的生物立即死亡。如果你所指定的生物现有生命值为100或更少，则其立即死亡。否则该法术不产生任何效应。</t>
  </si>
  <si>
    <t>• 由光构成的闪光多彩平面形成一幅不透光的墙壁。墙壁垂直于地面，其至多长90尺，高30尺，厚1寸，并以施法距离内你能看见的一点为源点。你也可以将此墙塑造成一个直径至多30尺的球体，并以施法距离内你能看到的一点为中心。法墙在法术持续时间内维持在原地。如果定位法墙位置时可能使其穿过有生物占据的空间，则本次施法失败，而你的动作和法术位仍然会被浪费。
• 法墙延伸出100尺的明亮光照外加100尺的微光光照。你和施放该法术时指定的生物可以穿过法墙或停留在法墙附近而不受伤害。如果其他能看见法墙的生物移动到距墙20尺内区域或在该处开始其回合，则该生物必须进行一次体质豁免，豁免失败则陷入1分钟的目盲状态。
• 法墙由七层组成，每层都有不同颜色。生物试图进入或穿过法墙时，将一层层穿过法墙所有的光层。其每穿过一层就必须进行一次敏捷豁免，豁免失败则受下列光层特性影响。
• 法墙可以被摧毁，不过也必须由红到紫的顺序一次一个光层的通过具体每层。某个光层一旦被摧毁则其在法术持续时间内保持被摧毁状态。反魔法力场 Antimagic Field无法对法墙生效，法术解除魔法 Dispel Magic只对紫墙有效。
• 1.红 Red：生物豁免失败时受到10d6点火焰伤害，豁免成功则伤害减半。此光层存在时，非魔法远程攻击无法穿过法墙。光层受至少25点冷冻伤害时被摧毁。
• 2.橙 Orange：生物豁免失败时受到10d6点强酸伤害，豁免成功则伤害减半。此光层存在时，魔法远程攻击不能穿过法墙。光层受强风吹袭后被摧毁。
• 3.黄 Yellow：生物豁免失败时受到10d6点闪电伤害，豁免成功则伤害减半。光层受至少60点力场伤害时被摧毁。
• 4.绿 Green：生物豁免失败时受到10d6点毒素伤害，豁免成功则伤害减半。光层在受法术穿墙术 Passwall，或者其它相同或更高环阶法术在固态表面开口的效应影响时被摧毁。
• 5.蓝 Blue：生物豁免失败时受到10d6点冷冻伤害，豁免成功则伤害减半。光层受至少25点火焰伤害时被摧毁。
• 6.靛 Indigo：生物豁免失败时受束缚。其每回合结束时进行一次体质豁免。三次豁免成功后法术终止。三次豁免失败后目标将永久陷入石化状态。成功或失败的豁免不需要连续，只需记下两边的数量直至其中一种达到三次。此光层存在时法术无法穿过。光层受昼明术 Daylight，或者其他相同或更高环阶法术发出的明亮光线照射时被摧毁。
• 7.紫 Violet：生物豁免失败时陷入目盲。其必须在你下一回合开始时进行一次感知豁免。豁免成功则目盲状态终止。豁免失败则该生物被传送到另一个DM指定的位面并且不再目盲。（典型情况是不在家乡位面的生物被驱逐回家，而其他生物通常会被传送到星界或以太位面。）该光层在受法术解除魔法 Dispel Magic，或者其他类似的相同或更高环阶法术所产生的终止法术魔法效应的影响时被摧毁。</t>
  </si>
  <si>
    <t>• 你释放你的心灵力量，轰击施法距离内至多10个由你选择的可见生物的心智。智力值为2或更低的生物不受影响。
• 每个目标都必须进行一次智力豁免检定。若豁免失败，目标受到14d6心灵伤害并且被震慑。豁免成功则只承受一半且不被震慑。如果一个有头的目标被这个伤害杀死，它的头会爆炸。
• 一个被震慑的生物可以在它每个回合结束时重新进行智力豁免。若豁免成功，震慑效果将结束。</t>
  </si>
  <si>
    <t>• 你以施法距离内你可见的一点为源点创造一个半径20尺的毁灭性球形力场。在法术持续时间内，球形力场与其100尺范围内的空间视为困难地形，且完全处于力场内的未被着装与携带的非魔法物件会被摧毁。
• 当力场出现时或者在你的每回合开始时，力场的100尺范围内未被着装的物件将被直直拉向力场的中心，并在距离力场中心最近的未被占据的空间停止。
• 当一个生物在力场的100尺范围内开始其回合时，其必须进行一个力量豁免，若失败则将被直直拉向力场的中心，并在距离力场中心最近的未被占据的空间停止。一个在当前回合内第一次进入力场的生物或在力场内开始其回合的生物会受到5d10点力场伤害并且被束缚，直到其离开力场范围。若力场位于空中，那么被束缚的生物将会在力场中悬浮。一个生物能以其动作进行一个对抗你的法术豁免DC的力量检定，若成功则能解除其自己或者另一个在其触及范围内的力场内的生物的束缚状态。若一个生物的HP被该法术降低至0，他与他身上携带的所有非魔法物件都会被湮灭。</t>
  </si>
  <si>
    <t>• 你在法术持续时间内变形为另一个生物。你的新形态可以是任何挑战等级小于等于你等级的生物。该类生物不能是构装生物或不死生物，而且你必须见过该类生物至少一次。你变形成该类生物中一个普通的个体，没有任何职业等级，也不具有施法特性。
• 你的游戏资料以目标生物的数据代替，但你的阵营，以及智力、感知和魅力值不变。你同样保留你的所有技能和豁免的熟练项，并且还能获得目标生物的技能和豁免的熟练项。如果目标生物和你都具有某熟练项，且目标生物在这该项的熟练加值比你高，则你在该项检定时使用较高的熟练加值而非自己的原加值。你不能使用新形态的传奇动作和巢穴动作。
• 你的生命值和生命骰变成和新形态一样。当你变回原形时，你的生命值恢复变形前的状态。如果你因为生命值降至0以下而变回原形，则你的正常形态将承受所有溢出的伤害。只要该伤害不足以把你在正常形态下的生命值也降至0，你就不会因此陷入昏迷。
• 你依然可以获得你的职业特性、种族特性和其他特性带来的增益，前提是你的新形态在物理上必须能够做到这些事。你不能使用任何之前享有的特殊感官（例如黑暗视觉），除非你的新形态也有这种感官。如果你变形成的生物通常不能说话，那么你也不能说话。
• 变形时，你可以选择你的装备掉到地上、融入新的形态中还是继续着装。继续着装的装备依然拥有正常情况下的功能。DM要根据新形态的外形和大小来判断你在新形态下是否能够继续着装你身上的每件装备。你的装备不会改变形状和尺寸以适应你的新形态，而新形态下不能着装的装备只能掉到地上或融入新的形态中。融入新形态的装备将不会产生任何效应。
• 在法术持续时间内，你可以用你的动作转换为另一形态。重新变形的规则与限制与第一次变形相同，只有一点不同：如果新形态的生命值比你当前的形态要多，那么你的生命值将保持为当前值不变。</t>
  </si>
  <si>
    <t>• 一团翻腾搅动的乌云并以你能看见的一点为中心一直扩散至半径360尺的区域，并使该区域内充斥着电闪雷鸣与狂风呼啸。所有位于云团下的生物（处于云团下方5000尺内）必须进行一次体质豁免。豁免失败者将受到2d6点雷鸣伤害，并陷入持续5分钟的耳聋状态。
• 你每维持一轮该法术的专注，风暴就会在你的回合中产生新的效应：
• 第2轮：云层中降下酸雨。所有位于云团下方的生物和物件受到1d6点强酸伤害。
• 第3轮：你从云中召下六束闪电击向你指定的六个位于云团下的生物或物件，其中任一生物或物件都只能被该闪电击中一次。遭电击的生物必须进行一次敏捷豁免，豁免失败者将受到10d6点闪电伤害，豁免成功则伤害减半。
• 第4轮：冰雹从云团中倾泻而下。所有位于云团下方的生物将受到2d6点钝击伤害。
• 第5－10轮：狂风和冰雨冲袭着云团下的区域，使该区域变为困难地形并造成重度遮蔽。该区域内的所有生物受到1d6点冷冻伤害。该区域内无法进行远程武器攻击。而其内的强风和暴雨将对维持法术专注造成严重干扰。此外，区域内的强风（风速在每小时20到50里）会自动吹散区域内的一切魔法或非魔法的烟雾以及其他类似现象。</t>
  </si>
  <si>
    <t>• 你选定一个施法距离内的目标，使他的身体形态受到飞速衰老的破坏。目标必须进行一个体质豁免并在豁免失败时受到12d10点黯蚀伤害, 或在豁免成功时只受到一半的伤害。若其豁免失败，目标还会快速老化至离老死只有三十天的时间点。在这个年龄段, 目标在攻击检定, 属性检定与豁免检定上承受劣势，其步行速度也减少一半。只有祈愿术Wish或以九环法术位施展的高等复原术Greater Restoration才能使这些效果消除并使其恢复原先的年龄。</t>
  </si>
  <si>
    <t>• 你使时间在除你之外所有生物的世界中暂时停止流动。你一次性进行1d4+1个回合，在这段过程内时间对于其他生物来说是静止的，但你可以像正常一样移动和使用动作。
• 在法术持续时间内，如果你的一个动作或任何你创造出来的效应影响到除你之外的任何生物，或影响到其他生物着装或携带的物件时，该法术将立即终止。此外，如果你在施法后移动离开施法位置超过1000尺，则法术也将因此终止。</t>
  </si>
  <si>
    <t>• 你指定施法距离内一个你能看见的生物或物件并使其变形。你可以将目标生物变成另一个不同的生物，或将目标生物变成一个物件，又或者将目标物件变成一个生物（该物件必须没有被任何生物着装或携带）。变形效应持续到法术持续时间结束，或直至目标生命值降至0或目标死亡。如果你在法术持续时间内一直保持该法术的专注，则该变形得以永久持续。
• 该法术对变形生物以及生命值为0的目标无效。而不愿被变形的生物可以进行一次感知豁免，豁免成功则不受该法术影响。
• 生物变生物：如果你将一个生物变形成另一种生物，则它的新形态可以是你选择的挑战等级等于或低于受术者挑战等级（如果受术者没有挑战等级则按其角色等级）的任意物种。受术者的游戏资料（包括各精神属性值）将被新形态的数据取代，而其阵营和性格则保持不变。
  目标将使用新形态的生命值。而当其变回通常形态时，该目标的生命值也恢复为变形前的数值。如果目标是因为生命值降至0而变回通常形态，则由通常形态承受溢出的伤害。只要溢出伤害不足以将通常形态生命值降至0，他就不会因此而昏迷。
  该生物所能实施的行为因其新形态的特征而受限，除非其新形态的身体特征允许，否则该生物不能说话，施法或者执行任何需要手和言语的动作。
  目标的装备融入其新形态，而且不能激活或持用装备，也无法以其他任何方式从其装备上获益。
• 物件变生物：你可以将一个物件变成任何一种符合下列要求的生物：生物的体积不能大于原物件，且生物的挑战等级必须低于等于9。变形出的生物对你和你的同伴保持友善。而战斗中它将会在你的回合内，由你决定其如何行动。该生物的数据由DM掌控，并由DM来判定其行动结果如何。
  如果该法术变成永久有效，则你将不再控制该生物。此后，该生物将根据你对待他的方式决定是否对你保持友善。
• 生物变物件：如果你将一个生物变形成一个物件，则它连同其穿着携带物一起变成新的形态。受术者的数据变成和该物件一样，在法术终止而受术者变回原形后，它将不会记得在变成物件时所发生的任何事情。</t>
  </si>
  <si>
    <t>• 你触碰一个已死的生物使其复活。该生物的死亡时间必须不超过200年，且死因不能是老死。如果该生物的灵魂愿意并且能够回到其身体中，则它将以生命值全满的状态复活。
• 该法术能治愈所有致命伤，中和一切毒素与疾病，并解除其生前所受的一切诅咒。该法术甚至能恢复其损伤或失去的器官和肢体。
• 如果受术生物的遗体已经不再存在，该法术甚至能给它再造一个新的身体。此时，你必须喊出该生物的名字，随后该生物便出现在你指定点周围10尺内一处未被占据的空间。</t>
  </si>
  <si>
    <t>• 你利用一群生物最恐惧的事物，在它们的心中创造出一个只有它们自己能看见的虚幻生物。指定施法距离内一点为中心，其周边半径30尺球状区域内的所有生物必须进行一次感知豁免。豁免失败者将在法术终止前陷入恐慌。该法术造出的幻像能唤起受术者心中最深的恐惧，使它最恐怖的噩梦显现为一个永远无法摆脱的威胁。如果生物因该法术陷入恐慌，则它在自己每回合结束时必须进行一次感知豁免，豁免失败则受到4d10点心灵伤害。豁免成功则此法术在该生物身上的效应终止。</t>
  </si>
  <si>
    <t>• 祈愿术是凡间生物所能施展的最强大法术。你只需要大声说出自己的愿望就能将现实世界的根基操弄于手中。
• 此法术最基础的用法是用来模仿任意一个8环或更低环阶的法术。你不需要满足目标法术所需的任何前提条件（包括昂贵的材料成分）就可以让该法术生效。
• 除此之外，你也可以选择创造下列效应其中之一：
→你创造出一个价值不超过25,000gp的物件。该物件不能是魔法物品。该物件最长尺寸不能超过300尺，并随法术出现在地面上你能看见的一处未被占据位置。
→你让至多二十个你能看见的生物恢复其全部生命值，并且终止
它们身上一切在高等复原术 Greater Restoration中描述过的效应。
→你让至多十个你能看见的生物对你所指定的一种伤害类型具有抗性
→你让最多十个你能看见的生物在八小时内免疫某种法术或其他魔法效应。例如，你可以使你自己和你的所有同伴免疫巫妖的吸取生命。
→你改变一件刚刚发生的事件。重掷前一轮的任意一次掷骰（包括你前一回合进行的掷骰），并让现实随着你的新掷骰结果改变。例如，祈愿术 Wish可以撤销对手的成功豁免，敌人的重击或同伴的失败豁免。你可以迫使重新进行的掷骰具有优势或劣势，并且可以选择是使用重投后的结果还是使用原来的结果。
• 上述范例效应之外，你也许还能达成其他某些结果。你可以详细的跟DM说明你的愿望，并由DM对其作出判定。不过你的愿望越大，出错的概率就越大。法术可能会直接失败，也可能部分的达成你想要的结果，你还有可能因表述愿望时措辞不当而遭到意想不到的结果。例如，许愿让一个坏人死去可能会让你穿越到多年后该人已死的一个时间段，使你相当于离开了游戏一样。此外，许愿获取一件传说中的魔法物品或神器可能会立即将你传送到该物品当前的持有者身边。
• 施放该法术来达成除了模仿其他法术外的任何目的都会使你承受极大的负担。承受这种负担之后，直到你完成一次长休息之前，你每次施放法术时都将受到一定伤害（伤害数值与施放法术的环阶相关，每环1d10点黯蚀伤害）。你无法以任何方式减轻或防止这种伤害，而你的力量值在也将在2d4日内降至3（除非它已经是3或更低）。在这段时间里，你每花一整日休息（不从事任何费力的工作），恢复需要的日数就减少2日。最后，如果你承受了这种负担，你将有33%的概率再也无法施放祈愿术。</t>
  </si>
  <si>
    <t>专注</t>
    <phoneticPr fontId="49" type="noConversion"/>
  </si>
  <si>
    <t>仪式</t>
    <phoneticPr fontId="49" type="noConversion"/>
  </si>
  <si>
    <t>√</t>
    <phoneticPr fontId="49" type="noConversion"/>
  </si>
  <si>
    <t>法术书</t>
    <phoneticPr fontId="49" type="noConversion"/>
  </si>
  <si>
    <t>环阶：</t>
    <phoneticPr fontId="49" type="noConversion"/>
  </si>
  <si>
    <t>施法距离：</t>
    <phoneticPr fontId="49" type="noConversion"/>
  </si>
  <si>
    <t>系别：</t>
    <phoneticPr fontId="49" type="noConversion"/>
  </si>
  <si>
    <t>适用职业：</t>
    <phoneticPr fontId="49" type="noConversion"/>
  </si>
  <si>
    <t>施法时间：</t>
    <phoneticPr fontId="49" type="noConversion"/>
  </si>
  <si>
    <t>法术成分：</t>
    <phoneticPr fontId="49" type="noConversion"/>
  </si>
  <si>
    <t>法术材料：</t>
    <phoneticPr fontId="49" type="noConversion"/>
  </si>
  <si>
    <t>持续时间：</t>
    <phoneticPr fontId="49" type="noConversion"/>
  </si>
  <si>
    <t>法术说明</t>
    <phoneticPr fontId="49" type="noConversion"/>
  </si>
  <si>
    <t>• 你触碰一段长度不超过60尺的绳子。绳的一端会向上升起，直到整条绳索都垂直于地面挂在空中。绳子的上端存在一个隐形的入口，其通往一个法术持续时间内一直存在的异次元空间。
• 该异次元空间可以从绳子的顶端进入，其内至多可容纳八个中型或更小的生物。魔绳可以被拉回到此空间里，此时从异次元空间外面就再看不到这条绳索。
• 攻击和法术都无法从异次元空间的入口进出，但空间内的生物可以通过入口看到外面的景象，就如同在绳索的位置有一个3尺5尺大小的窗口一样。
• 法术终止时，异次元空间内的一切东西都会掉出来。</t>
  </si>
  <si>
    <t>一个3尺2尺2尺，由稀有材料制成的精致箱子至少价值5,000gp；以及由同样材料制成的一个箱子的微缩模型至少价值50gp</t>
  </si>
  <si>
    <t>• 你将一个箱子及其内容物藏在以太位面。你必须同时接触箱子和作为法术材料成分的微缩模型。箱子最多可容纳12立方尺的非活体物质（3尺2尺2尺）。
• 箱子处于以太位面时，你可以用一个动作并触碰箱子的模型来召回箱子。箱子出现在你5尺内一个未被占据空间的地面。随后，你可以使用一个动作并同时触碰箱子与复制品来把箱子送回以太位面。
• 60日之后，法术的效应会每日累计5%的概率自动结束。如果你再次施展该法术或箱子的模型被摧毁，又或者以一个动作终止该法术时，该法术的效应将随之终止。如果法术终止时箱子处于灵界，则其将不可挽回地丢失。</t>
  </si>
  <si>
    <t>• 一面看不见的力墙出现在施法距离内你指定的一点。这面力墙的方向由你决定：你可以使力墙成为水平或垂直的结界，亦可以使它形成一定倾角。它可以浮在空中，也可以立于地上。你可以将它塑成半球状或球状（半径最长10尺），也可以塑成一个由十个10尺10尺的方板块构成的平面，而每块板块都必须要和至少一块其他板块相连。不管形状如何，力墙的厚度总是1/4寸。力场墙将持续存在至法术终止。如果力墙形成时穿过了某个生物所占据的空间，则该生物会被推到力墙的一侧（由你决定推到哪一侧）。
• 没有任何事物可以通过物理方式穿过力墙。力墙免疫所有伤害，也不能被解除魔法 Dispel Magic所解除，但法术解离术 Disintegrate可以使其立即摧毁。力墙能够延伸进以太位面，因此可以阻断进入以太位面穿过墙壁旅行。
• 补充：设计师说明类似任意门这样的【传送】效应可以在力场墙内外进出。</t>
  </si>
  <si>
    <t>• 一面坚硬的非魔法石墙出现在施法距离内你指定的一点。该石墙厚达6寸，由十个10尺10尺的方板块组成。每块板块都必须要和至少一块其他板块相连。另外你也可以选择以十个10尺20 尺的板块组成石墙，但厚度只有3寸。
• 如果石墙形成时穿过了某生物所占据的空间，则该生物会被推到石墙的一侧（由你决定推到哪一侧）。如果该生物即将被石墙完全包围住（或被石墙和另一个坚硬的平面包围），则它可以进行一次敏捷豁免。豁免成功者将得以执行一个反应来以正常速度移动，从而避免被墙围住。
• 你可以将石墙塑成你想要的任何形状，但它不能与其他生物或物件同占一处空间。该墙不必垂直于地面，也不需要地基；但它必须从稳固的既有石块中延伸出来。因此，你可以使用该法术创造一条跨越峡谷的桥或是造一个斜坡。悬空石板的跨度超过20尺时需要支撑，因此石板的面积需减半。你可以对石墙进行粗略塑形，造出锯齿、城垛等结构。
• 该墙是一个可以因受到伤害而被打破的石制物件。每块板块的AC为15，每寸厚得石墙具有30点生命值。当一块板块的生命值降至0时则该板块被摧毁，而且与它相连的板块也可能会崩塌（具体由DM判断）。
• 如果你在整个法术持续时间内一直保持住该法术的专注，则石墙将永久存在且不能被解除。如果你没能这么做，则石墙在法术终止时随即消失。</t>
  </si>
  <si>
    <t>• 你在施法距离内一块坚实的地面上创造出一面冰墙。你可以将它塑成半球状或球状（半径最长10尺），也可以塑成一个由十个10尺10尺的方板块构成的平面。每块板块都必须要和至少一块其他板块相连。不管形状如何，冰墙总是厚1尺并持续存在至法术终止。
• 如果冰墙形成时穿过了某生物所占据的空间，则该生物会被推到冰墙的一侧且必须进行一次敏捷豁免。豁免失败者将受到10d6点冷冻伤害，豁免成功则伤害减半。
• 作为一个物件，冰墙可以因受到伤害而被打破。冰墙的AC为12，每段10尺长的冰墙有30点生命值，而且冰墙对火焰伤害具有易伤。当一段10尺长的冰墙的生命值降至0时，这段冰墙就会被摧毁，但原地会留下一片冰冷刺骨的空气。生物在一个回合内第一次通过这片寒气时，必须进行一次体质豁免。豁免失败者将受到5d6点冷冻伤害，成功则伤害减半。
• 升环施法效应：使用7环或更高法术位施展该法术时，你使用的法术位每比6环高一环，冰墙出现时造成的伤害就增加2d6，并且通过寒气时受到的伤害也增加1d6。</t>
  </si>
  <si>
    <t>• 该法术将你以及施法距离内你能看见的至多八个自愿生物，或者施法距离内你能看见的一个物件传送到你指定的某处地点。如果你指定一个物件作为法术目标，则该物件必须能被整个放进一个边长10尺的立方体中，且必须没有被一个非自愿生物所着装或携带。
• 你只能指定你知道的地点作为传送目的地，而目的地必须与你位于同一个存在位面中。你对目的地的熟悉程度决定你是否能成功抵达。DM可以掷一个d100并查阅下表。
DM可以掷一个d100并查阅下表。 
熟悉程度　　　　遇难　　相似地区　　目标错误　　目标正确
永久法阵　　　　—　　　—　　　　　—　　　　　01-100
相关物品　　　　—　　　—　　　　　—　　　　　01-100
非常熟悉　　　　01-05　 06-13　　　 14-24　　　 25-100
偶尔见过　　　　01-33　 34-43　　　 44-53　　　 54-100 
见过一次　　　　01-43　 44-53　　　 54-73　　　 74-100 
听过描述　　　　01-43　 44-53　　　 54-73　　　 74-100
查无此地　　　　01-50　 51-100　　　—　　　　　— 
• 熟悉程度 Familiarity：“永久法阵”指你知道某永久传送法阵的相关符文序列。“相关物件”指你持有一件在过去六个月内从目标地点取来的物件，例如某个法师图书馆内的一本书，某个皇家卧室里床上的亚麻线或某巫妖陵墓里的一块大理石。
  “非常熟悉”指的是你常去的地方，你仔细研究过的地方，或是你在施展该法术时能看见的地方。“偶尔见过”指你见过几次的地方，但你不是很熟悉。“见过一次”指你只见过一次的地方，包括通过魔法看到的地点。“听过描述”指一个你从别人那里听来位置和外观的地点，比如从地图上看来的地点。
  “查无此地”指根本不存在的地点。也许你尝试探知敌人的密室但看到的只是幻像，或者是一个你曾经熟悉但如今已不再存在的地点。
• 正中目标 On Target：你和你的队伍（或目标物件）出现在你意料中的地点。
• 偏离目标 Off Target：你和你的队伍（或目标物件）出现在目的地随机方向上随机距离的一点。距离误差等于原定移动距离1d101d101%。例如，假设你尝试移动120里而不幸偏离目标，并且在掷距离误差时两个d10投出了5和3，那么你的传送距离误差是原定移动距离的15%，也就是18 里。DM 通过掷一次d8来判误差出现在目的地的哪个方向。1 为正北，2为东北，3为正东，依此类推。如果你们想要传送到一个海滨城市但却出现在离岸18里远的海上，那你们可有麻烦了。
• 相似地区 Similar Area：你和你的队伍（或目标物件）出现在一个和目的地外观或氛围相似的不同地点。例如，如果你想回你自己的研究室去，则你可能会误打误撞出现在其他法师的研究室里，或是一个陈设有许多和你的研究室里相似工具的炼金用品店。通常你会出现在离目的地最近的相似地区，但由于该法术没有距离限制，你有可能会出现在同一个位面上的任何地点。
• 遇难 Mishap：该法术的意外魔法效果导致这次旅行特别艰难。尝试传送的所有生物（或目标物件）受到3d10点力场伤害，随后DM重投d100并查阅上表来决定你们出现在哪里（你们可能再次遇难，而每次遇难都要承受该伤害）。</t>
  </si>
  <si>
    <t>• 一阵呼啸的旋风出现在你指定的地表上可见的一点。旋风半径为10尺，高度为30尺，是一个以指定点为中心的柱状体。直到此法术终结，你可以使用你的动作来在水平的任何方向上移动至多30尺。旋风会吸入所有固定或未被穿戴或持握的，不大于中型的物体。
• 在回合中第一次进入旋风的生物，或所在空间被旋风进入的生物（包括旋风第一次出现时的）必须进行一次敏捷豁免检定。豁免失败的生物受到10d6点钝击伤害，豁免成功者只受到上述伤害的一半。此外，体型不超过大型的生物若未通过豁免则必须通过一次力量豁免检定，否则会被旋风束缚，直到法术终结。当一个生物在被旋风束缚的条件下开始其回合时，除非其达到了顶点，其将被向上方推动5尺。被束缚的生物会随着旋风移动，而法术终结时其会摔落，除非其具有其他方法保持悬浮。
• 被束缚的生物可以使用一个动作来进行一次力量或敏捷检定，对抗你的法术豁免DC。若成功，该生物不再被旋风束缚，并被向随机方向抛离3d610尺远。</t>
  </si>
  <si>
    <t>• 你在法术持续时间内控制自身5里范围内的天气状况。施展该法术时你必须身处户外，而一旦移动到无法直接看到天空的地点时，法术也会随即终止。
• 本来由DM基于季节和气候所决定的天气状况，在你施展此法术时可以由你随意操控。你可以改变降水、气温以及风势等状况。新的天气状况生效需要经过1d410分钟的时间才能完成。状况改变完成后，你可以再次对当前对天气状况作改变。法术终止时，天气将渐渐恢复成平常状态。
• 改变天气状况时，你可以从以下表格查明与目前对应的等级，再选择同一表格中高一级或低一级的状况作为其改变结果。改变风势时，你还可以同时改变其风向。
降水Precipitation 
等级 状况 
1    天晴clear 
2    薄云light clouds 
3    多云overcast或有雾ground fog 
4    下雨rain，下冰雹hail或下雪snow 
5    暴雨torrential rain，大冰雹driving hail或暴雪blizzard 
气温Temperature 
等级 状况 
1    酷热unbearable heat 
2    炎热hot 
3    暖和warm 
4    清凉cool 
5    寒冷cold 
6    严寒arctic cold 
风势Wind 
等级 状况 
1    无风calm 
2    和风moderate wind 
3    强风strong wind 
4    狂风gale 
5    暴风strom</t>
  </si>
  <si>
    <t>• 你在施法距离内一处能看见的地面上指定一点，并在其上制造地震扰动。在法术持续时间内，一阵强烈的震颤在震源周边半径100尺的圆形范围内传递，并使区域内地上的生物和建筑都受到震动影响。
• 受影响区域内的地面变为困难地形。而区域地面上的每个正在进行专注的生物都必须进行一次体质豁免，豁免失败则其专注被打断。
• 在你施展此法术以及随后保持专注的每回合结束时，区域地面上的每个生物都必须进行一次敏捷豁免，豁免失败则生物应击倒地。
• 根据施法区域的地形，DM可以决定是否应用额外的效应。
• 裂缝 Fissures：在施展此法术的下一个回合开始时，法术影响区域会撕开一道道裂缝。1d6条裂缝在DM安排的位置出现。每条裂缝深1d1010尺，宽10尺，并由影响区域的一边向另一边延伸。裂缝撕开时，将处于其位置上的生物必须成功通过一次敏捷豁免，否则将坠落其中。豁免成功则该生物移动到裂缝旁边。
• 裂缝上的建筑会直接崩塌，详情如下。
• 建筑 Structures：在你施展此法术及法术终止前你的每个回合开始时，地震对影响区域内的所有建筑都造成50点钝击伤害。建筑生命值降为0时立即崩塌，且可能对附近生物造成伤害。与该建筑距离不大于该建筑高度一半的生物，都必须进行一次敏捷豁免。豁免失败则受5d6点钝击伤害并应击倒地且埋于废墟之下。该生物可用一个动作来进行一次DC20的力量（运动）检定来尝试逃离废墟。DM可根据废墟的情况调整DC高低。豁免成功时伤害减半，且不会倒地或被掩埋。</t>
  </si>
  <si>
    <t>防护（仪式）</t>
    <phoneticPr fontId="49" type="noConversion"/>
  </si>
  <si>
    <t>预言（仪式）</t>
    <phoneticPr fontId="49" type="noConversion"/>
  </si>
  <si>
    <t>咒法（仪式）</t>
    <phoneticPr fontId="49" type="noConversion"/>
  </si>
  <si>
    <t>幻术（仪式）</t>
    <phoneticPr fontId="49" type="noConversion"/>
  </si>
  <si>
    <t>变化（仪式）</t>
    <phoneticPr fontId="49" type="noConversion"/>
  </si>
  <si>
    <t>惑控（仪式）</t>
    <phoneticPr fontId="49" type="noConversion"/>
  </si>
  <si>
    <t>死灵（仪式）</t>
    <phoneticPr fontId="49" type="noConversion"/>
  </si>
  <si>
    <t>塑能（仪式）</t>
    <phoneticPr fontId="49" type="noConversion"/>
  </si>
  <si>
    <t>仪式</t>
    <phoneticPr fontId="49" type="noConversion"/>
  </si>
  <si>
    <t>额外法术</t>
    <phoneticPr fontId="49" type="noConversion"/>
  </si>
  <si>
    <t>V</t>
    <phoneticPr fontId="49" type="noConversion"/>
  </si>
  <si>
    <t>S</t>
    <phoneticPr fontId="49" type="noConversion"/>
  </si>
  <si>
    <t>M</t>
    <phoneticPr fontId="49" type="noConversion"/>
  </si>
  <si>
    <t>学派</t>
    <phoneticPr fontId="49" type="noConversion"/>
  </si>
  <si>
    <t xml:space="preserve"> </t>
    <phoneticPr fontId="49" type="noConversion"/>
  </si>
  <si>
    <t xml:space="preserve">第6级时，你根据所选的图腾兽获得一项魔法能力。
你可以选择和第3级时相同的图腾，也可以另做选择。
• 熊：你拥有熊之巨力。你的载重（包括最大负重和最大举重）翻倍，并且你在推、拉、举和破坏物件时进行的力量检定具有优势。
• 雕：你拥有雕之锐目。你可以轻易的看清1里之内的范围，细节之处与100尺距离内的影像一样清晰。此外，你在微光环境中进行感知（察觉）检定时不会具有劣势。
• 狼：你拥有狼之敏锐。你可以在用快速步调旅行的同时追踪其他生物，也可以在用正常步调旅行时保持隐匿（旅行步调见第8章）。
这些选项可以在你6级选择图腾动物时选择 。 
• 鹿Elk。无论你是骑乘还是徒步，你的旅行速度变为双倍。只要你未失能，在你周围60尺内的最多十个同伴也能得到这个好处（参考《玩家手册》第八章得到更多有关旅行速度的信息）。鹿的精魂祝福你行得更远更快。
• 虎Tiger。你从下列技能中选择两个技能，你得到它们的熟练：运动、特技、潜行、求生。虎之精魂磨练了你的生存本能。 </t>
    <phoneticPr fontId="49" type="noConversion"/>
  </si>
  <si>
    <t xml:space="preserve">第14级时，你根据所选的图腾兽获得一项魔法能力。
你可以选择和之前相同的图腾，也可以另做选择。
• 熊：狂暴时，如果身处你周边5尺内的任何敌对生物发动攻击，而其目标不是你或另一个具有此特性的生物，则该攻击的攻击检定具有劣势。无法看到你或听到你声音的生物，以及无法陷入恐慌的生物对该特性免疫。
• 雕：狂暴时，你获得等同于你移动速度的飞行速度。此特性只能用于短途冲刺。如果回合结束时你仍在空中且毫无凭依，则你将坠落。
• 狼：狂暴时，如果你在自己回合内以近战武器攻击命中一名大型或更小体型的生物，则你可以用一个附赠动作顺势将其打击至倒地。
这些选项可以在你14级选择图腾动物时选择 。
• 鹿Elk。狂暴期间，在你试图穿过一个被大体型或更小的生物占据的空间时，你可以使用你的附赠动作迫使那个生物进行一次力量豁免（DC 8 + 你的力量属性调整值 + 你的熟练值）。若失败，生物被击倒并且受到1d12+你的力量调整值的钝击伤害。
• 虎Tiger。狂暴期间，如果你向着一个大体型或者更小的目标直线接近至少20尺并且向它进行了一次近战武器攻击，你可以用附赠动作对它进行一次额外的近战武器攻击。 </t>
    <phoneticPr fontId="49" type="noConversion"/>
  </si>
  <si>
    <t>巨人道途</t>
    <phoneticPr fontId="49" type="noConversion"/>
  </si>
  <si>
    <t>巨人之力</t>
    <phoneticPr fontId="49" type="noConversion"/>
  </si>
  <si>
    <t>巨人之灾</t>
    <phoneticPr fontId="49" type="noConversion"/>
  </si>
  <si>
    <t>第20级时，你的存在即是野性之力的具现。你的力量和体质各提升4。并且你这两项属性的上限变为24。</t>
    <phoneticPr fontId="49" type="noConversion"/>
  </si>
  <si>
    <t>元素战刃</t>
    <phoneticPr fontId="49" type="noConversion"/>
  </si>
  <si>
    <t>伟力推动</t>
    <phoneticPr fontId="49" type="noConversion"/>
  </si>
  <si>
    <t>创世巨像</t>
    <phoneticPr fontId="49" type="noConversion"/>
  </si>
  <si>
    <t>精魂学院</t>
    <phoneticPr fontId="49" type="noConversion"/>
  </si>
  <si>
    <t>呢喃指引</t>
    <phoneticPr fontId="49" type="noConversion"/>
  </si>
  <si>
    <t>精魂法器</t>
    <phoneticPr fontId="49" type="noConversion"/>
  </si>
  <si>
    <t>彼岸故事</t>
    <phoneticPr fontId="49" type="noConversion"/>
  </si>
  <si>
    <t>精魂故事表</t>
    <phoneticPr fontId="49" type="noConversion"/>
  </si>
  <si>
    <t>诗人激励骰结果　通过你讲述的故事
1、聪慧的动物的故事Tale of the Clever Animal
接下来的10分钟内，每当目标进行一次智力、感知或魅力检定时，目标可以在投掷d20后额外立刻投掷一个额外的骰子，并将数值加到检定结果之中。额外骰的面数和你的诗人激励骰相同。
2、著名决斗家的故事Tale of the Renowned Duelist
你对目标进行一次近战法术攻击。若命中，则目标受到等同于2个你的诗人激励骰的掷骰结果+你的魅力调整值的力场伤害。
3、挚友们的故事 Tale of the Beloved Friends
目标和其所选的另一个在其5尺内且其可见的生物获得临时生命值，数值等于1个你的诗人激励骰的掷骰结果+你的魅力调整值。
4、逃亡的故事Tale of the Runaway
目标可以立即使用其反应来传送至多30尺，到一处其可见且未被占据的空间。当目标传送时，其能选择至多相当于你的魅力调整值（最少为0）数量的、在其30尺内的可见生物立即执行相同的反应。
5、复仇者的故事 Tale of the Avenger
在1分钟里，任何使用近战攻击命中目标的生物会受到相当于1个你的诗人激励骰的掷骰结果的力场伤害。
6、旅行者的故事 Tale of theTraveler
目标获得临时生命值，数值为一个你的诗人激励骰的掷骰结果+你的诗人等级。当其拥有这些临时生命值时，其移动速度增加10尺，并在其AC上获得+1加值。
7、欺诈者的故事 Tale of the Beguiler
目标进行一次感知豁免，失败则受到数值等同于2个你的诗人激励骰的掷骰结果的心灵伤害，并陷入失能incapacitated直到其下一个回合结束。
8、鬼魅的故事Tale of the Phantom
目标变为隐形invisible，直到其下一个回合结束，或以攻击命中一个生物。如果目标在这次隐形期间攻击命中了一个生物，被攻击的生物受到暗蚀伤害，数值等同于1个你的诗人激励骰的掷骰结果，并陷入对目标的恐慌frightened之中，持续到该生物的下一个回合结束。
9、凶蛮恶汉的故事 Tale of the Brute 目标所选择的30尺内其可见的每个生物都必须进行一次力量豁免。若豁免失败，该生物受到3个你的诗人激励骰的掷骰结果的雷鸣伤害，并倒地prone。若豁免成功，该生物受到的伤害减半，并且不会倒地prone。
10、巨龙的故事 Tale of the Dragon目标从口中喷出30尺锥形的火焰。在范围内的每个生物都必须进行一次敏捷豁免，若豁免失败则受到4个你的诗人激励骰的掷骰结果的火焰伤害，若豁免则成功伤害减半。
11、天使的故事 Tale of the Angel目标恢复相当于2个你的诗人激励骰的掷骰结果+你的魅力调整值的生命值，并且你结束目标身上正起作用的状态中的一个，可结束的状态如下：目盲blinded，耳聋deafened，麻痹paralyzed，石化petrified或中毒poisoned。
12、夺魂故事 Tale of the Mind-Bender你从某个超凡的存在那里唤起了一则超越人的理解能力的寓言。目标必须成功通过一次智力豁免，否则受到相当于3个你的诗人激励骰的掷骰结果的心灵伤害，并被震慑stunned直到其下一个回合结束。</t>
    <phoneticPr fontId="49" type="noConversion"/>
  </si>
  <si>
    <t>精魂集会</t>
    <phoneticPr fontId="49" type="noConversion"/>
  </si>
  <si>
    <t>神秘连接</t>
    <phoneticPr fontId="49" type="noConversion"/>
  </si>
  <si>
    <t>指挥官奇袭</t>
    <phoneticPr fontId="49" type="noConversion"/>
  </si>
  <si>
    <t>缴械攻击</t>
  </si>
  <si>
    <t>扰乱打击</t>
  </si>
  <si>
    <t>灵巧步法</t>
  </si>
  <si>
    <t>诡诈攻击</t>
  </si>
  <si>
    <t>挑衅攻击</t>
  </si>
  <si>
    <t>突刺攻击</t>
  </si>
  <si>
    <t>灵动攻击</t>
  </si>
  <si>
    <t>恐吓攻击</t>
  </si>
  <si>
    <t>格挡</t>
  </si>
  <si>
    <t>精准攻击</t>
  </si>
  <si>
    <t>推撞攻击</t>
  </si>
  <si>
    <t>重整旗鼓</t>
  </si>
  <si>
    <t>反击</t>
  </si>
  <si>
    <t>横扫攻击</t>
  </si>
  <si>
    <t>摔绊攻击</t>
  </si>
  <si>
    <t>警戒</t>
  </si>
  <si>
    <t>领导风范</t>
  </si>
  <si>
    <t>擒拿击</t>
  </si>
  <si>
    <t>快手投掷</t>
  </si>
  <si>
    <t>战术预估</t>
  </si>
  <si>
    <t>神龙宗</t>
    <phoneticPr fontId="49" type="noConversion"/>
  </si>
  <si>
    <t>PHB</t>
    <phoneticPr fontId="49" type="noConversion"/>
  </si>
  <si>
    <t>XGE</t>
    <phoneticPr fontId="49" type="noConversion"/>
  </si>
  <si>
    <t>SCAG</t>
    <phoneticPr fontId="49" type="noConversion"/>
  </si>
  <si>
    <t>TCE</t>
    <phoneticPr fontId="49" type="noConversion"/>
  </si>
  <si>
    <t>EGtW</t>
    <phoneticPr fontId="49" type="noConversion"/>
  </si>
  <si>
    <t>BGG</t>
    <phoneticPr fontId="49" type="noConversion"/>
  </si>
  <si>
    <t>VGR</t>
    <phoneticPr fontId="49" type="noConversion"/>
  </si>
  <si>
    <t>FTD</t>
    <phoneticPr fontId="49" type="noConversion"/>
  </si>
  <si>
    <t>神龙起源</t>
    <phoneticPr fontId="49" type="noConversion"/>
  </si>
  <si>
    <t xml:space="preserve">众所周知，龙神巴哈姆特曾以年轻武僧的装扮行遍多元宇宙，传说有言以此相开山立派，是为神龙宗。此宗派的武学基本便是模仿龙之姿态，使武僧将自身融入世界及其魔法之中。这些武僧们通过对自我魂灵的更新以与巨龙伟力产生共鸣，在战斗中再添威能，成为战友的支撑，甚至腾展龙翼，怒而飞天。但所有武学其实均是为了一个更伟大的目标而生：与物质位面的本质于精神上连结，或谓天人合一之境。
作为神龙宗的学徒，由你决定自己是如何激发出体内的巨龙之力。以下的神龙起源表格提供了些许建议。
神龙起源Ascendant Dragon Origin d6起源 
1、你通过观察巨龙并将自己的气与它们改天换地的力量相调谐来磨练自己的技艺。 
2、一位巨龙主动地帮助你修炼自身的能量。 
3、你所在修道院的教义可追溯到百年甚至数百年前一只巨龙的指导，或某位献身于龙神的存在。 
4、你在一个远古巨龙巢穴的影响范围内冥想良久，并凭此吸收了环境中的魔力。 
5、你找到了一张龙语卷轴，里面包含了令人顿悟的崭新技巧。 
6、你梦到了一名五首龙裔，而你醒来时，体内的气就已不同以往，宛如巨龙之息。 </t>
    <phoneticPr fontId="49" type="noConversion"/>
  </si>
  <si>
    <t>龙之徒</t>
    <phoneticPr fontId="49" type="noConversion"/>
  </si>
  <si>
    <t>第3级神龙宗特性
通过引导你的龙之气，你可以将龙息的精华注入到你的徒手打击之中并依靠你与龙的牵绊来强化自身的气势。你获得以下好处：
• 龙之威仪Draconic Presence。如果你在一次魅力（威吓）或一次魅力（游说）检定中失败，你可以显现出巨龙的威仪，并用你的反应来重骰此检定。一旦此特性将一次检定结果从失败变为成功，直到你完成一次长休息你无法再使用此特性。
• 龙之打击Draconic Strike。当你以一次徒手攻击对一个目标造成伤害时，你可以将伤害类型改变为强酸，冷冻，火焰，闪电或毒素。
• 龙之言语Tongue of Dragons。你可以说、读、写龙语或其他一种你选择的语言。</t>
    <phoneticPr fontId="49" type="noConversion"/>
  </si>
  <si>
    <t>龙之息</t>
    <phoneticPr fontId="49" type="noConversion"/>
  </si>
  <si>
    <t>第3级神龙宗特性
你可以引导气来将其化为毁灭性的能量波，如同你所模仿的巨龙。当你在你的回合进行攻击动作，你可以将其中一次攻击替换为喷吐出一团 20尺锥状或30尺长5尺宽线状（由你选择）的龙类能量。选择以下一种伤害类型：强酸，冷冻，火焰，闪电或毒素。范围内的每个生物必须通过一次对抗你的气豁免DC的敏捷豁免，豁免失败者将于受到等同两个你武艺骰的对应类型的伤害，豁免成功则伤害减半。
第11级时，你的吐息伤害提升到三个你的武艺骰。
你可以使用此特性的次数等同于你的熟练加值（ PB），且在完成一次长休后恢复所有使用次数。当你没有使用次数时，你可以花费2点气来使用此特性。</t>
    <phoneticPr fontId="49" type="noConversion"/>
  </si>
  <si>
    <t>龙翼翱翔</t>
    <phoneticPr fontId="49" type="noConversion"/>
  </si>
  <si>
    <t>第6级神龙宗特性
当你使用飞檐走壁时，你可以在背后展开虚幻的龙翼，其在你回合结束时消失。当龙翼存在时，你获得与你的步行速度相同的飞行速度。 
你可以使用此特性的次数等同于你的熟练加值，且在完成一次长休后恢复所有使用次数。</t>
    <phoneticPr fontId="49" type="noConversion"/>
  </si>
  <si>
    <t>古龙姿</t>
    <phoneticPr fontId="49" type="noConversion"/>
  </si>
  <si>
    <t>第11级神龙宗特性
龙气力量从你体内散发，守护你的盟友并惩罚一切敢于对它们动武之徒。以一个附赠动作，你可以在你身边10尺内具现出一股持续1分钟的龙力灵光。在持续时间内，你选择并获得以下两种增益之一：
• 骇人威仪Frightful Presence。当你散发出此灵光时，或在维持此灵光时用一个附赠动作，选择灵光范围内的一个生物。目标必须成功通过相当于你气豁免DC的感知豁免，否则对你恐慌1分钟。目标可以在每次自己回合结束时重复一次豁免，豁免成功则效应中止。
• 抗性Resistance。你启动此灵光时选择一种伤害类型：强酸，冷冻，火焰，闪电或毒素。你和你灵光内的盟友对所选伤害类型具有抗性。 
一旦你散发出此灵光，直到你完成一次长休你都无法再这么做，除非你花费3点气来再次使用它。</t>
    <phoneticPr fontId="49" type="noConversion"/>
  </si>
  <si>
    <t>神龙身</t>
    <phoneticPr fontId="49" type="noConversion"/>
  </si>
  <si>
    <t>第17级神龙宗特性
你的龙之魂巅峰造极。你获得以下好处：
• 强化吐息Augment Breath。当你使用你的龙之息时，你可以消耗1点气对其塑形并增强其威力。你呼出的龙类能量增长至60尺锥状或90尺长5尺宽线状（由你选择），且范围内的每个生物豁免失败时会受到等同四个你武艺骰的对应类型的伤害，豁免成功则伤害减半。
• 盲视Blindsight。你获得10尺盲视。在盲视范围内，即使你目盲或处于黑暗中，你仍可以清晰地看到任何不处于全身掩护的事物。而且，你可以在盲视范围内看到隐形生物，除非此生物对你躲藏成功。
• 怒气爆发Explosive Fury。当你使用古龙之姿时，龙族之怒从你体内爆发。选择你灵光内可见的任意数量的生物，每个生物必须通过一次对抗你的气豁免DC的敏捷豁免，豁免失败者受到3d10强酸，冷冻，火焰，闪电或毒素伤害（由你选择）。</t>
    <phoneticPr fontId="49" type="noConversion"/>
  </si>
  <si>
    <t>猎人</t>
    <phoneticPr fontId="49" type="noConversion"/>
  </si>
  <si>
    <t>原初伴侣</t>
    <phoneticPr fontId="49" type="noConversion"/>
  </si>
  <si>
    <t>3级驯兽师特性，替换游侠伴侣特性
你魔法性的召唤出一只原初野兽，其力量来自于与你与自然的联系。这只野兽对你和你的伙伴态度友善，并会听从你的命令。你从大地野兽，海洋野兽和天空野兽的数据中为它选择其一作为它的数据，它数据表中许多地方将会用到你的熟练加值（PB）。且你决定原初野兽是何种动物，选择适合其数据的外形。无论你选择什么样的动物，这只野兽都带有原始的印记，暗示着其神秘的起源。
在战斗中，原初野兽会在你的回合中行动。它能自主的移动或使用反应，但除非你在你的回合中以一个附赠动作命令它执行其他动作，它只会执行回避动作。命令的动作可以是其数据中列出的动作或是之外的其他动作。作为另一种命令方式，你也能在使用自己的攻击动作时，牺牲其中一次自己的攻击来命令野兽执行攻击动作。如果你陷入失能，野兽将会自主行动，而非仅使用回避动作。
如果野兽死亡不超过一小时，你能使用你的动作触碰它，并消耗一个一环或更高的法术位使他复活。它会在一分钟后死而复生并获得所有生命值。
当你结束一次长休后，你能够召唤一只不同的原初野兽。这只新的野兽出现在你5尺内未被占据的空间内，并由你选择其数据和外表。如果你已经通过此特性获得了一只原初野兽，它会在新的原初野兽出现时消失。原初野兽也会在你死亡时消失。
大地野兽Beast of the Land
中型野兽 
--------------------------------------------------------------------------------
AC： 13+PB（天生护甲）
HP：5+你游侠等级的五倍（野兽拥有与你游侠等级相同数量的生命骰[D8]） 
速度：40尺，攀爬40尺 
--------------------------------------------------------------------------------
力量  敏捷  体质  智力  感知  魅力 
14（+2）  14（+2）  15（+2）  8（-1）  14（+2）  11（+0） 
--------------------------------------------------------------------------------
感官：黑暗视觉60尺，被动察觉12
语言：理解你说的语言
挑战等级：—— 
熟练加值（PB）：等于你的熟练加值。 
--------------------------------------------------------------------------------
冲锋Charge。当大地野兽向一个目标直线移动了至少20尺，然后在同一回合以挥打攻击命中目标时。目标会额外受到1d6挥砍伤害。如果目标是生物，它必须成功通过对抗你法术豁免DC的力量豁免检定否则应击倒地。
原初联结Primal Bond。你能将你的熟练加值加到野兽进行的一切属性检定和豁免检定上。 
--------------------------------------------------------------------------------
动作Actions
挥打Maul。近战武器攻击：攻击加值等同于你的法术攻击加值，触及5尺，单个目标。命中：1d8+2+PB点挥砍伤害。 
--------------------------------------------------------------------------------
海洋野兽Beast of the Sea
中型野兽 
--------------------------------------------------------------------------------
AC： 13+PB（天生护甲）
HP：5+你游侠等级的五倍（野兽拥有与你游侠等级相同数量的生命骰[D8]） 
速度：5尺，游泳60尺 
--------------------------------------------------------------------------------
力量  敏捷  体质  智力  感知  魅力 
14（+2）  14（+2）  15（+2）  8（-1）  14（+2）  11（+0） 
--------------------------------------------------------------------------------
感官：黑暗视觉60尺，被动察觉12
语言：理解你说的语言
挑战等级：—— 
熟练加值（PB）：等于你的熟练加值。 
--------------------------------------------------------------------------------
水陆两栖Amphibious。野兽可以在空气和水中呼吸。
原初联结Primal Bond。你能将你的熟练加值加到野兽进行的一切属性检定和豁免检定上。 
--------------------------------------------------------------------------------
 动作Actions
攫击Binding Srtike。近战武器攻击：攻击加值等同于你的法术攻击加值，触及5尺，单个目标。命中：1d6+2+PB点穿刺或1d6+2+PB点钝击伤害（由你选择），并且目标被擒抱（逃脱DC等于你的法术豁免DC）。 
--------------------------------------------------------------------------------
天空野兽Beast of the Sky
小型野兽 
--------------------------------------------------------------------------------
AC： 13+PB（天生护甲）
HP：4+你游侠等级的四倍（野兽拥有与你游侠等级相同数量的生命骰[D6]） 
速度：10尺，飞行60尺 
--------------------------------------------------------------------------------
力量  敏捷  体质  智力  感知  魅力 
6（-2）  16（+3）  13（+1）  8（-1）  14（+2）  11（+0） 
--------------------------------------------------------------------------------
感官：黑暗视觉60尺，被动察觉12
语言：理解你说的语言
挑战等级：—— 
熟练加值（PB）：等于你的熟练加值。 
--------------------------------------------------------------------------------
飞掠Flyby。野兽以飞行离开敌人的触及范围时不会引发对方的借机攻击。
原初联结Primal Bond。你能将你的熟练加值加到野兽进行的一切属性检定和豁免检定上。 
--------------------------------------------------------------------------------
动作Actions
撕咬Shred。近战武器攻击：攻击加值等同于你的法术攻击加值，触及5尺，单个目标。命中：1d4+3+PB点挥砍伤害。 
--------------------------------------------------------------------------------</t>
    <phoneticPr fontId="49" type="noConversion"/>
  </si>
  <si>
    <t>龙兽守卫</t>
    <phoneticPr fontId="49" type="noConversion"/>
  </si>
  <si>
    <t>龙兽守卫起源</t>
    <phoneticPr fontId="49" type="noConversion"/>
  </si>
  <si>
    <t xml:space="preserve">你与自然的连接形式表现为一条龙族精魄，精魄能化形为龙兽。随着你的能量增长，你的龙兽也会一同增长，从四条腿的小伙伴蜕变为宏伟的巨大带翼生物，强壮到能让你骑乘。这一过程中，你也会不断获得增长的，令人敬畏的龙族力量。
思考与你联结的龙族精魄的起源。龙兽守卫起源表提供了范例。
龙兽守卫起源Drakewarden Origin d6起源 
1、你通过研究龙的鳞片或爪子，或一件从龙的宝库里找到的饰品，从这些徽记物上获取了残留的龙族魔法，构成了联结 
2、一个专门收集和保护龙族学问的游侠会社向你传授了他们的道途。 
3、一条龙给了你一枚晶球或宝石，并让你进行照看，你没想到的是，龙兽从这块石头里孵化了出来。 
4、你曾吞下了几滴龙血，永远给你的自然魔法注入了龙的力量。 
5、当你大声朗读巨石柱上的古代龙纹铭文后，你被赋予了力量。 
6、你做了一个逼真的梦，你梦见一个神秘的人物，有七只黄色的金丝雀伴随其左右，警告你即将到来的浩劫。当你醒来时，你的龙兽就在你的身边盯着你。 </t>
    <phoneticPr fontId="49" type="noConversion"/>
  </si>
  <si>
    <t>龙族赠礼</t>
    <phoneticPr fontId="49" type="noConversion"/>
  </si>
  <si>
    <t>第3级龙兽守卫特性
通过与你龙兽的联结，你获得与龙族之间的联系，增强你的气场，赋予你知识，你获得以下增益 :
• 奇术Thaumaturgy。你习得戏法 奇术Thaumaturgy ，这对你而言是一个游侠法术。
• 龙之言语Tongue of Dragons。 你学会说，读，写龙语或另一门你选择的语言。</t>
    <phoneticPr fontId="49" type="noConversion"/>
  </si>
  <si>
    <t>龙兽伙伴</t>
    <phoneticPr fontId="49" type="noConversion"/>
  </si>
  <si>
    <t>第3级龙兽守卫特性
以一个动作，你能魔法地召唤出与你联结的龙兽。龙兽会出现在你 30尺内一处由你选择的未被占据的空间里。
龙兽听从你的指令，并且对你和你的同伴友善。从龙兽伙伴数据卡中查看龙兽的游戏数据，其中有几处使用了你的熟练值（PB）。当你召唤龙兽时，从龙族精粹特性的列表中选择伤害类型。你能自订龙兽的外观特征，如颜色，鳞片纹理，和龙族精粹的视觉效果；你的外观选择对游戏数据没有影响。
战斗中，龙兽与你共享先攻，会在你的回合结束之后立即进行自己的回合。龙兽能自己独自移动和使用反应，除非你在你的回合里使用附赠动作命令龙兽执行一个动作，否则龙兽只会使用回避动作。执行的动作可以是数据卡上的，也可以是其他的。当你失能时，龙兽能独自进行任何动作选项，而不是只能回避。
龙兽持续直到它的生命值降为0，或你使用本特性召唤另一只龙兽，或你死亡。当龙兽消失时，它穿戴和携带的物品会留在原地。
当你召唤龙兽后，你需要完成一次长休才能再次这样做。你也能使用一个一环或更高的法术位来召唤龙兽。
--------------------------------------------------------------------------------
龙兽伙伴Drake Companion
小型龙类
--------------------------------------------------------------------------------
护甲等级：14+PB（天生护甲）
生命值：5+你游侠等级*5（龙兽拥有等同于你游侠等级数量的生命骰[d10]）
速度：40尺
--------------------------------------------------------------------------------
力量16（+3） 敏捷12（+1） 体质15（+2）
智力8（-1） 感知14（+2） 魅力8（-1）
豁免：敏捷+1+PB、感知+2+PB
伤害免疫：由龙族精粹特性决定
感官：黑暗视觉60 尺，被动感知12
语言：龙语
挑战等级：——  熟练加值（PB）：与你相同
--------------------------------------------------------------------------------
龙族精粹Draconic Essence。当你召唤龙兽时，选择一种伤害类型:强酸，寒冷，闪电，火焰，毒性。该伤害类型会影响伤害免疫和注能打击的伤害。
--------------------------------------------------------------------------------
动作Actions
啃咬Bite。近战武器攻击：命中+3+PB，触及5尺，单一目标，命中：1d6+PB点穿刺伤害。
--------------------------------------------------------------------------------
反应Reactions
注能打击Infused Strikes。当龙兽30尺内一个龙兽可见的生物用武器攻击命中一个生物时，龙兽能用它的精粹注能本次打击，使目标额外受到d6伤害，伤害类型与龙族精粹相同。</t>
    <phoneticPr fontId="49" type="noConversion"/>
  </si>
  <si>
    <t>牙鳞之联</t>
    <phoneticPr fontId="49" type="noConversion"/>
  </si>
  <si>
    <t>第7级龙兽守卫特性
你与龙兽之间的纽带加强，激发龙兽的狂怒，为你提供保护。当你召唤龙兽时，一对翅膀在其背后长出，并获得与步行速度相等的飞行速度。 
此外，当召唤的龙兽在场时，你和龙兽获得以下增益:
• 龙兽坐骑Drake Mount。 龙兽成长为中等体型。作为你特别联结的反映，你能够将龙兽当做坐骑骑乘，即使你的体型也为中型。当你骑乘龙兽时，龙兽不能使用从本特性中获得的飞行速度。
• 魔法獠牙Magic Fang。 龙兽的啃咬攻击额外造成与龙族精粹伤害类型相同的d6伤害。
• 抗性Resistance。你获得与龙族精粹伤害类型相同的伤害抗性。</t>
    <phoneticPr fontId="49" type="noConversion"/>
  </si>
  <si>
    <t>龙兽吐息</t>
    <phoneticPr fontId="49" type="noConversion"/>
  </si>
  <si>
    <t>第11级龙兽守卫特性
使用一个动作，你能喷吐 30尺锥形的伤害吐息，或者你也能将喷射起点设为你的龙兽。选择强酸，寒冷，闪电，火焰，或毒性伤害。（你的选择和龙族精粹特性无关。）锥形范围内的生物进行一次敏捷豁免对抗你的法术DC，豁免失败时受到8d6伤害，成功时受到一半的伤害。
当你达到15级后，这一伤害将增长至10d6。
当你使用本特性后，你需要完成一次长休才能再次这样做。你也能使用一个三环或更高的法术位来再次使用。</t>
    <phoneticPr fontId="49" type="noConversion"/>
  </si>
  <si>
    <t>完美联结</t>
    <phoneticPr fontId="49" type="noConversion"/>
  </si>
  <si>
    <t>第15级龙兽守卫特性
你与龙兽的联结抵达其力量的巅峰。当召唤的龙兽在场时，你和龙兽获得以下增益 :
• 强化啃咬Empowered Bite。龙兽的啃咬攻击额外造成与龙族精粹属性相同的d6伤害。（总共2d6额外伤害。）
• 大型龙兽Large Drake。你的龙兽成长为大型。当你骑乘龙兽时，使用飞行速度不再受限于牙鳞之联。
• 反射抗性Reflexive Resistance。当你与龙兽相距30尺内，你或你的龙兽受到伤害时，你能使用你的反应为你或你的龙兽对这次伤害提供抗性。你能使用本反应的次数与你的熟练值相等，当你完成一次长休后恢复所有的使用次数。</t>
    <phoneticPr fontId="49" type="noConversion"/>
  </si>
  <si>
    <t>调查员</t>
    <phoneticPr fontId="49" type="noConversion"/>
  </si>
  <si>
    <t>月之术法</t>
    <phoneticPr fontId="49" type="noConversion"/>
  </si>
  <si>
    <t>月之化身</t>
    <phoneticPr fontId="49" type="noConversion"/>
  </si>
  <si>
    <t>第1级月之术法特性
当你到达本职业特定等级时，你习得下方月之法术表格中列出的额外的法术，这些法术对你而言视作术士法术，但不计入你术士已知法术总数内。
月之法术表Lunar Spells
术士等级　　满月法术　　朔月法术　　新月法术 
 1st 　　护盾术　　　　致病射线　　七彩喷射 
 3rd　　次级复原术　　目盲术/耳聋术　　变身术 
 5th　　解除魔法　　　　吸血鬼之触　　魅影驹 
 7th　　防死结界　　　　困惑术　　　　幻景 
 9th　　拉瑞心灵联结　　怪物定身术　　假象术 
每当你完成一次长休时，你可以选择以你的魔法展现出何种月相的力量：满月Full Moon、朔月New Moon，或新月Crescent Moon。你处于选择的月相中时，可以不消耗法术位地施放一次月之法术表格中对应月相的一个一环法术。一旦你以此法施放了一个法术，你无法在完成一次长休前再如此施法。</t>
    <phoneticPr fontId="49" type="noConversion"/>
  </si>
  <si>
    <t>月火</t>
    <phoneticPr fontId="49" type="noConversion"/>
  </si>
  <si>
    <t>第1级月之术法特性
你可以呼唤月亮的耀光为你所用。你习得法术圣火术Sacred Flame，此法术不计入你术士已知戏法总数内。当你施放此法术时，你可以如常选择一个生物作为目标，或是选择两个相互之间的距离在5尺以内的生物作为目标。</t>
    <phoneticPr fontId="49" type="noConversion"/>
  </si>
  <si>
    <t>月之恩泽</t>
    <phoneticPr fontId="49" type="noConversion"/>
  </si>
  <si>
    <t>第6级月之术法特性
你月之化身的月相能够影响你的超魔法特性。每个月之化身月相都与特定的魔法学派相关联，如下所示：
• 满月Full Moon.防护与预言法术
• 朔月New Moon.惑控与死灵法术
• 新月Crescent Moon.幻术与变化法术
当你对你所处月相相关联的魔法学派的法术使用超魔法时，你可以将消耗的术法点降低1点（最低为0）。你可以用此方法降低超魔法术法点的次数等同于你的熟练加值，且会在完成一次长休后恢复所有已消耗的使用次数。</t>
    <phoneticPr fontId="49" type="noConversion"/>
  </si>
  <si>
    <t>阴晴圆缺</t>
    <phoneticPr fontId="49" type="noConversion"/>
  </si>
  <si>
    <t>第6级月之术法特性
你可以更好地控制你月之魔法的月相。以一个附赠动作，你可以消耗1术法点来将你的月相转换为另一种不同的月相。
你现在可以不消耗法术位地施放月之法术表格中每个对应月相的一个一环法术一次，前提是你所处的月相与该法术的月相相同。一旦你以此法施放了一个月相法术，你无法在完成一次长休前再以此施展那个月相法术。</t>
    <phoneticPr fontId="49" type="noConversion"/>
  </si>
  <si>
    <t>月之赋能</t>
    <phoneticPr fontId="49" type="noConversion"/>
  </si>
  <si>
    <t>第14级月之术法特性
月相的力量渗入了你的存在本身。每当你处于月之化身中的月相时，你也会根据所选月相获得下列增益：
• 满月Full Moon. 你可以以一个附赠动作来散发出10尺明亮光照和额外10尺的微光光照，或是熄灭前述光照。此外，你和你选择的生物处于你散发的明亮光照之中时，智力（调查）和感知（察觉）检定具有优势。
• 朔月New Moon. 你在敏捷（隐匿）检定中具有优势。此外，当你完全处于黑暗中时，对你发动的攻击检定具有劣势。
• 新月Crescent Moon. 你具有黯蚀和光耀伤害的抗性。</t>
    <phoneticPr fontId="49" type="noConversion"/>
  </si>
  <si>
    <t>月之异象</t>
    <phoneticPr fontId="49" type="noConversion"/>
  </si>
  <si>
    <t>第18级月之魔法特性
以一个附赠动作，你可以激发你当前所处月之化身月相的特殊能力。或者，以你阴晴圆缺特性转换月相的附赠动作的一部分，你可以立刻使用你正进入的月相的能力：
• 满月Full Moon.你短暂地辐射出月光。每个你选择的距你30尺内的生物必须通过一次对抗你法术豁免DC的体质豁免，否则陷入目盲直到其下一回合结束。此外，该区域内一个你选择的生物恢复3d8生命值。
• 朔月New Moon.你瞬间散发出幽暗。每个你选择的距你30尺内的生物必须通过一次DC对抗你法术豁免DC的敏捷豁免，否则受到3d10黯蚀伤害，并且速度降为0至其下一回合结束。此外，你变为隐形，直至你下一回合结束。你进行攻击或施放法术后，隐形也会立刻结束。
• 新月Crescent Moon.你魔法性地传送至你60尺内可见的未被占据位置。你可以携带一个距你5尺内的可见自愿生物。该生物传送至你传送目的地内5尺你选择的可见未被占据位置。此外，直至你下一回合开始，你和该生物获得所有伤害的抗性。
一旦你使用了上述附赠动作，在你完成一次长休之前再次使用需要消耗5点术法点。</t>
    <phoneticPr fontId="49" type="noConversion"/>
  </si>
  <si>
    <t>死灵宗主</t>
    <phoneticPr fontId="49" type="noConversion"/>
  </si>
  <si>
    <t>扩展法术列表</t>
    <phoneticPr fontId="49" type="noConversion"/>
  </si>
  <si>
    <t xml:space="preserve">第1级死灵宗主特性
当你学习邪术师法术时，死灵宗主让你能从扩大的法术列表中选择，将以下法术为你添加到邪术师法术列表中。
死灵宗主扩展法术 法术环阶　　法术 
1st　　灾祸术bane，虚假生命false life 
2nd　　目盲／耳聋术blindness/deafness，魅影之力phantasmal force  
3rd　　魅影驹phantom steed，死者交谈speak with dead  
4th　　防死结界death ward，高等隐形术,greater invisibility  
5th　　防活物护罩antilife shell，死云术cloudkill  </t>
    <phoneticPr fontId="49" type="noConversion"/>
  </si>
  <si>
    <t>战栗形态</t>
    <phoneticPr fontId="49" type="noConversion"/>
  </si>
  <si>
    <t>第1级死灵宗主特性
你显现出你宗主可怕力量的一个侧面。以一个附赠动作，你变身持续1分钟。变身时你获得以下好处：
• 你获得等于1d10+你的邪术师等级的临时生命。
• 在你的每个回合中一次，当你攻击检定命中一个生物时，你可以强迫其进行一次感知豁免。若失败，目标直到你的下一个回合结束陷入对你的恐慌。
• 你对恐慌状态免疫。
你可以变身的次数等于你的熟练值，当你完成长休后，你恢复所有已消耗的变身次数。
你战栗形态下的外观反映了你宗主的某些方面。例如，你的战栗形态可能披着阴影的纱幕，化作你的巫妖宗主王冠和长袍的形状，或者你的身体开始发光，现出古代葬礼仪式的符印，并被沙尘旋风所环绕，暗示着你的木乃伊宗主。</t>
    <phoneticPr fontId="49" type="noConversion"/>
  </si>
  <si>
    <t>坟冢之触</t>
    <phoneticPr fontId="49" type="noConversion"/>
  </si>
  <si>
    <t>第6级死灵宗主特性
你宗主的力量对你的身体和魔法产生了深远的影响。你不需要吃、喝、呼吸。
此外，每个你的回合中一次，当你用攻击检定命中一个生物并对该生物投掷伤害骰时，你可以将伤害类型替换为黯蚀伤害。当你使用战栗形态时，你可以在决定目标受到该黯蚀伤害的数值时，额外投掷一枚伤害骰。</t>
    <phoneticPr fontId="49" type="noConversion"/>
  </si>
  <si>
    <t>死疽躯壳</t>
    <phoneticPr fontId="49" type="noConversion"/>
  </si>
  <si>
    <t>第10级死灵宗主特性
你与亡灵和黯蚀能量的联系现在充斥着你的身体。你对黯蚀伤害具有抗性。如果你使用战栗形态变身，你改为会对黯蚀伤害免疫。
此外，当你的生命值降低到0时，你可以使用反应，改为将生命值降低到1，并使你的身体爆发出死亡能量。你周围30英尺内的每个你选择的生物都会受到相当于2d10+你的邪术师等级的黯蚀伤害。你获得1级的力竭。一旦你使用该反应，直到你完成1d4次长休为止你不能再次使用。</t>
    <phoneticPr fontId="49" type="noConversion"/>
  </si>
  <si>
    <t>灵魂投射</t>
    <phoneticPr fontId="49" type="noConversion"/>
  </si>
  <si>
    <t>第14级死灵宗主特性
你的灵魂能脱离你物理形态的约束。作为一个动作，你可以从你的身体投射出你的灵魂。你留下的身体会陷入昏迷，并处于人事不省状态。
你的灵魂与你的正常形态各个方面高度相似，复制你的游戏数据，但不包括你的携带物。任何对你的灵魂或物理身体造成的伤害或其他效果会传递到另一方。你的灵魂可以在你的身体之外停留长达1小时，或者直到你的专注中断（如同专注于一个法术）。当你的投射结束时，你的灵魂会回到你的身体，或者你的身体会魔法地的传送到你灵魂所在的空间（由你选择）。
当投射你的灵魂时，你获得以下好处：
• 你的灵魂和身体获得对钝击、穿刺和挥砍伤害的抗性。
• 当你施放一个咒法学派或死灵学派的法术时，该法术不再需要语言、姿势或不消耗金币的材料成分。
• 你获得等于你步行速度的飞行速度，并且可以在空中悬浮。你可以如同穿过困难地形一般穿过生物和物体，但如果你在生物或物件内结束自己回合，你会受到1d10的力场伤害。
• 当你使用战栗形态时，在你的每个回合中只有一次，当你对一个生物造成黯蚀伤害时，你会恢复相当于黯蚀伤害量一半的生命值。
一旦你使用了这个特性，直到你完成了一次长休为止你无法再次使用它。</t>
    <phoneticPr fontId="49" type="noConversion"/>
  </si>
  <si>
    <t>异种龙纹</t>
    <phoneticPr fontId="49" type="noConversion"/>
  </si>
  <si>
    <t>斯翠海文学徒</t>
    <phoneticPr fontId="49" type="noConversion"/>
  </si>
  <si>
    <t xml:space="preserve">你研习了一些魔法理论，学会了些许斯翠海文大学的法术。
选择一个斯翠海文学院：衡鉴，粹丽，量析，银毫，靡华。根据你所选择的学院，你习得两个戏法和一个1环法术，如斯翠海文法术表所示。
你能够不使用法术位施展所选择的1环法术，当你这样做后，必须完成一次长休后才能再次用这种方式释放。你也能使用你拥有的任意法术位来释放该法术。
你释放该专长的法术的施法属性为智力，感知或魅力（当你选择该专长的时候决定）。
斯翠海文法术 学院  戏法（从...中选择两个）  1环法术（选择一个） 
 衡鉴 光亮术light  圣火术sacred flame   奇术thaumaturgy   从牧师或法师法术中选择。 
 粹丽 火焰箭fire bolt   魔法伎俩prestidigitation  冷冻射线ray of frost   从吟游诗人或术士法术中选择。 
 量析 德鲁伊伎俩druidcraft  神导术guidance  法师之手mage hand   从德鲁伊或法师法术中选择。 
 银毫 圣火术sacred flame   奇术thaumaturgy  恶言相加vicious mockery   从吟游诗人或牧师法术中选择。 
 靡华 冻寒之触chill touch   德鲁伊伎俩druidcraft  维生术spare the dying   从德鲁伊或法师法术中选择。 </t>
    <phoneticPr fontId="49" type="noConversion"/>
  </si>
  <si>
    <t>斯翠海文苑像</t>
    <phoneticPr fontId="49" type="noConversion"/>
  </si>
  <si>
    <t>色彩龙赋礼</t>
    <phoneticPr fontId="49" type="noConversion"/>
  </si>
  <si>
    <t>你掌握了一些色彩龙的力量，你获得以下好处：
• 繁彩注魔Chromatic Infusion。以一个附赠动作，你可以触碰一把简易武器或军用武器，向它注入以下能量之一：强酸，寒冷，火焰，闪电或毒素。在之后一分钟内，该武器在命中时额外造成1d4你所选伤害类型的伤害。使用此特性后，你在完成一次长休前不能再次使用。
• 反应抗性Reactive Resistance。当你受到强酸，寒冷，火焰，闪电或毒素伤害时，你可以使用你的反应，使自己在当此伤害中获得对应伤害类型的抗性。你可以使用该特性等同于你熟练加值的次数，你在完成一次长休后重获所有已使用的次数。</t>
    <phoneticPr fontId="49" type="noConversion"/>
  </si>
  <si>
    <t>宝石龙赋礼</t>
    <phoneticPr fontId="49" type="noConversion"/>
  </si>
  <si>
    <t>你掌握了一些宝石龙的力量，你获得以下好处：
• 属性值提升Ability Score Increase。你的智力、感知、或魅力提升1，上限20。
• 念力报复Telekinetic Reprisal.。当你受到来自距离你10尺内的生物的伤害时，你可以用你的反应来驱使念动力。对你造成伤害的生物必须成功通过一次力量豁免（DC为8+你的熟练加值+你用此专长提升的属性的属性调整值），否则受到2d8力场伤害并被推离至多10尺。你可以使用此反应等同于你熟练加值的次数，你在完成一次长休后重获所有已使用的次数。</t>
    <phoneticPr fontId="49" type="noConversion"/>
  </si>
  <si>
    <t>金属龙赋礼</t>
    <phoneticPr fontId="49" type="noConversion"/>
  </si>
  <si>
    <t>你掌握了一些金属龙的力量，你获得以下好处：
• 龙类治疗Draconic Healing。你习得疗伤术法术。你可以施展一次该法术而无需消耗法术位。当你以此法施展该法术后，你不能再这样做，直至你完成一次长休。你也可以使用你拥有的法术位来施展该法术。该法术的施法属性是智力，感知或魅力（你在获得此专长时进行选择）。
• 庇护之翼Protective Wings。你可以现出庇护之翼，保护你或者其他人免受攻击。在你或5尺内你可见的其他生物被一次攻击命中时，你可以使用你的反应来在你背后暂时显现出虚幻的翅膀。你使目标对抗该次攻击的AC获得加值，数值等同于你的熟练加值，此举可能导致该攻击丢失。你可以使用此反应等同于你熟练加值的次数，你在完成一次长休后重获所有已使用的次数。</t>
    <phoneticPr fontId="49" type="noConversion"/>
  </si>
  <si>
    <t>符文塑形者</t>
    <phoneticPr fontId="49" type="noConversion"/>
  </si>
  <si>
    <t>巨人打击</t>
    <phoneticPr fontId="49" type="noConversion"/>
  </si>
  <si>
    <t>你习得了如何 召唤斯翠海文苑像来协助你，这让你获得以下的好处：
• 你获得以仪式施法的方式施展法术 寻获魔宠find familiar 的能力。你魔宠的形态能够选择与你斯翠海文学徒专长所关联的学院的苑像：魂灵塑偶苑像spirit statue mascot（衡鉴），艺元素苑像art elemental mascot（粹丽），分灵苑像fractal mascot（量析），墨灵苑像inkling mascot（银毫），害虫苑像pest mascot（靡华）。这些生物的数据卡在第7章。
• 当你在你的回合里进行攻击动作时，你能放弃一次攻击来让你的苑像魔宠使用其反应来进行一次攻击。
• 如果你的苑像魔宠与你相距60尺内，你能使用一个动作来进行传送，与你的魔宠交换位置。如果你的目的地过于狭窄以至于你不能占据那处空间的话，传送会失败并浪费掉。一旦你使用了这种传送，你需要完成一次长休之后才能再次使用，你也可以使用一个2环或更高的法术来使用该传送。
先决条件：4级，斯翠海文学徒专长</t>
    <phoneticPr fontId="49" type="noConversion"/>
  </si>
  <si>
    <t xml:space="preserve">你吸收了回荡在你体内巨人之力的原初魔法。当你选择此专长时，选择下列列出的增益之一。每回合一次，当你用近战武器攻击、或投掷武器的远程武器攻击击中一个目标时，你可以为攻击注入一种额外效应，其具体内容取决于你选择的增益类型：
• 云雾打击Cloud Strike。 目标受到额外1d4点雷鸣伤害。若目标是生物，则其必须通过一次感知豁免，否则直至你下一回合开始，你对其而言视为 隐形Invisible 状态。你发动攻击或是施展法术后，这一效应也会立刻结束。
• 火焰打击Fire Strike。目标受到额外1d10点火焰伤害。
• 寒霜打击Frost Strike。 目标受到额外1d6点冷冻伤害。若目标是生物，则其必须通过一次体质豁免，否则直至你下一回合开始其速度归零。
• 山丘打击Hill Strike。 目标受到额外1d6点与武器同类型的伤害。若目标是生物，则其必须通过一次力量豁免，否则将陷入 倒地Prone。
• 岩石打击Stone Strike。 目标受到额外1d6点力场伤害。若目标是生物，则其必须通过一次力量豁免，否则被你沿直线击退10尺。
• 风暴打击Storm Strike。 目标受到额外1d6点闪电伤害。若目标是生物，则其必须通过一次体质豁免，否则直至你下一回合开始，其发动的攻击检定都将具有劣势。
这些效果豁免检定的DC为8+你的熟练加值+你的力量或体质调整值。
你可使用此专长的次数等同于你的熟练加值次，在完成一次长休后你恢复所有已消耗的使用次数。
先决条件: 军用武器熟练或 巨人养子Giant Founding 背景 </t>
    <phoneticPr fontId="49" type="noConversion"/>
  </si>
  <si>
    <t>火巨人之余烬</t>
    <phoneticPr fontId="49" type="noConversion"/>
  </si>
  <si>
    <t xml:space="preserve">你展现出象征着火巨人的炽烈战斗方式，使得你获得下列增益：
• 属性值提升Ability Score Increase。 你的力量、体质、或感知属性提升1，上限为20。
• 生于烈焰Born of Flame。 你获得火焰伤害的抗性。
• 炽热灼烧Searing Ignition。 当你在你的回合中执行攻击动作时，你可以将其中一次攻击替换为喷射出一阵魔法烈焰。以你为中心，15尺半径球状内所有由你选择的可见生物都必须进行一次敏捷豁免（DC为8+你的熟练加值+本专长提升属性的调整值）。豁免失败时，生物将受到 1d8+你的熟练加值 点火焰伤害，并陷入 目盲Blinded 状态，直至你下一个回合开始。豁免成功时只受一半伤害。你可使用炽热灼烧的次数等同于你的熟练加值次，在完成一次长休后你恢复所有已消耗的使用次数。
先决条件: 第4级，巨人打击（火焰打击）专长 </t>
    <phoneticPr fontId="49" type="noConversion"/>
  </si>
  <si>
    <t>霜巨人之狂怒</t>
    <phoneticPr fontId="49" type="noConversion"/>
  </si>
  <si>
    <t xml:space="preserve">你展现出象征着霜巨人的冰冷力量，使得你获得下列增益：
• 属性值提升Ability Score Increase。 你的力量、体质、或感知属性提升1，上限为20。
• 生于冰霜Born of Ice。 你获得冷冻伤害的抗性。
• 霜寒回击Frigid Retaliation。 当一个30尺内你可见的生物以攻击检定命中你，并对你造成伤害后，你可以立即用你的反应来唤出碎裂的寒冰来予以还击。那个生物必须进行一次体质豁免（DC为8+你的熟练加值+本专长提升属性的调整值）。豁免失败时，该生物将受到 1d8+你的熟练加值 点冷冻伤害，并速度减半，直至其下一个回合结束。你可以使用这一反应的次数等同于你的熟练加值次，在完成一次长休后你恢复所有已消耗的使用次数。
先决条件: 第4级，巨人打击（寒霜打击）专长 </t>
    <phoneticPr fontId="49" type="noConversion"/>
  </si>
  <si>
    <t>云巨人之诡诈</t>
    <phoneticPr fontId="49" type="noConversion"/>
  </si>
  <si>
    <t xml:space="preserve">你展现出象征着云巨人的轻浮言语以及魔法，使得你获得下列增益：
• 属性值提升Ability Score Increase。 你的敏捷、体质、或魅力属性提升1，上限为20。
• 迷云逃逸Cloudy Escape。 当一个你可见的生物以攻击检定命中你时，你可以使用你的反应来获得此次攻击伤害的抗性。然后你可以传送至30尺范围内的一处你可见的、未被占据的空间。你可以使用这一反应的次数等同于你的熟练加值次，在完成一次长休后你恢复所有已消耗的使用次数。
先决条件: 第4级，巨人打击（云雾打击）专长 </t>
    <phoneticPr fontId="49" type="noConversion"/>
  </si>
  <si>
    <t>石巨人之敏锐</t>
    <phoneticPr fontId="49" type="noConversion"/>
  </si>
  <si>
    <t xml:space="preserve">你展现出象征着石巨人的肉体天赋，使得你获得下列增益：
• 属性值提升Ability Score Increase。 你的力量、体质、或感知属性提升1，上限为20。
• 洞穴视觉Cavernous Sight。 你获得60尺黑暗视觉。若你已经从其他来源处获得了黑暗视觉，其距离增加60尺。
• 投掷石块Stone Throw。 以一个附赠动作，你可以触碰一块石头并用其发动一次魔法性的攻击。此次攻击是一次远程法术攻击，具有60尺的射程，使用你以此专长提升的属性作为施法属性。命中时，石头造成1d10点力场伤害，若目标是生物，则其必须通过一次力量豁免（DC为8+你的熟练加值+本专长提升属性的调整值），否则将陷入 倒地Prone 状态。你可以使用这一附赠动作的次数等同于你的熟练加值次，在完成一次长休后你恢复所有已消耗的使用次数。
先决条件: 第4级，巨人打击（岩石打击）专长 </t>
    <phoneticPr fontId="49" type="noConversion"/>
  </si>
  <si>
    <t>风暴巨人之灵魂</t>
    <phoneticPr fontId="49" type="noConversion"/>
  </si>
  <si>
    <t xml:space="preserve">你展现出象征着风暴巨人的预言能力和风暴魔法，使得你获得下列增益：
• 属性值提升Ability Score Increase。 你的智力、感知、或魅力属性提升1，上限为20。
• 旋涡灵光Maelstrom Aura。 以一个附赠动作，你将自己笼罩在魔法性的狂风与雷电灵光之中，灵光以你为中心，向任意方向延展10尺（无法穿过全掩护）。灵光持续到你的下一个回合开始，若你陷入 失能Incapacitated 它会提前结束。灵光激活期间，你获得闪电伤害与雷鸣伤害的抗性。此外，任何以你为目标的攻击检定都将具有劣势，且每当一个生物在灵光下开始其回合，你都可以迫使其进行一次力量豁免（DC为8+你的熟练加值+本专长提升属性的调整值）。豁免失败时，该生物的速度将被减半直至它们的下一回合开始。你可以使用这一附赠动作的次数等同于你的熟练加值次，在完成一次长休后你恢复所有已消耗的使用次数。
先决条件: 第4级，巨人打击（风暴打击）专长 </t>
    <phoneticPr fontId="49" type="noConversion"/>
  </si>
  <si>
    <t>山丘巨人之健强</t>
    <phoneticPr fontId="49" type="noConversion"/>
  </si>
  <si>
    <t xml:space="preserve">你展现出象征着山丘巨人的强韧性，使得你获得下列增益：
• 属性值提升Ability Score Increase。 你的力量、体质、或感知属性提升1，上限为20。
• 不动如山Bulwark。当你受到一次让你移动至少5尺、或给予你 倒地Prone 状态的效应时，你可以用你的反应来稳定自身，此时，你既不会被因此移动，也不会因此陷入 倒地Prone 。
• 钢铁肠胃Iron Stomach。 当你在短休时进食，并且使用了一粒或更多生命骰恢复生命时，你额外恢复等同于你的 体质调整值+你的熟练加值 点的生命值。
先决条件: 第4级，巨人打击（山丘打击）专长 </t>
    <phoneticPr fontId="49" type="noConversion"/>
  </si>
  <si>
    <t>你学会了通过一副牌组来引导你的魔法，你可以用一副牌组作为你的法器，并获得下列增益：
• 卡牌诈术Card Tricks。你习得戏法 魔法伎俩Prestidigitation，并可以用其创造幻象来复制舞台魔术的效果。当你以此法使用魔法伎俩时，你可以隐藏此法术的言语和姿势成分 
• 隐藏王牌Hidden Ace。当你完成一次长休时，你可以从你的职业法术列表中选择一个法术，并将其注入一张卡牌之中，被选择的法术施法时间必须为1动作，并必须是你拥有法术位的环阶。卡牌将被魔法侵染8小时，期间，你可以以你的附赠动作展示出卡牌并且施展其内的法术。之后卡牌立刻失去魔力。
先决条件：第4级，施法特性
（注：隐藏王牌效果没有明确说明是否需要法术位以及何时需要法术位，导致出现严重的歧义并在外网备受争论。使用前请询问你的DM该专长与法术位如何互动，并静候本书的Errata（若有）。）</t>
    <phoneticPr fontId="49" type="noConversion"/>
  </si>
  <si>
    <t>英魂之刃</t>
    <phoneticPr fontId="49" type="noConversion"/>
  </si>
  <si>
    <t>、你继承了你祖先的天生施法能力。这项能力允许你随意对自己施放 回避侦测nondetection，而不需要物质成分。你也可以每日一次施展下列每项法术：目盲/耳聋术 Blindness/Deafness、朦胧术Blur和易容术disguise self。当你完成一次长休息后，你会重新获得施展这些法术的能力。你的施法属性为智力。
先决条件：侏儒（地底侏儒）</t>
    <phoneticPr fontId="49" type="noConversion"/>
  </si>
  <si>
    <t>奉献圣誓法术</t>
    <phoneticPr fontId="49" type="noConversion"/>
  </si>
  <si>
    <t>引导神力-奉献</t>
    <phoneticPr fontId="49" type="noConversion"/>
  </si>
  <si>
    <t>古贤圣誓法术</t>
    <phoneticPr fontId="49" type="noConversion"/>
  </si>
  <si>
    <t>引导神力-古贤</t>
    <phoneticPr fontId="49" type="noConversion"/>
  </si>
  <si>
    <t>复仇圣誓法术</t>
    <phoneticPr fontId="49" type="noConversion"/>
  </si>
  <si>
    <t>引导神力-复仇</t>
    <phoneticPr fontId="49" type="noConversion"/>
  </si>
  <si>
    <t>征服圣誓法术</t>
    <phoneticPr fontId="49" type="noConversion"/>
  </si>
  <si>
    <t>引导神力-征服</t>
    <phoneticPr fontId="49" type="noConversion"/>
  </si>
  <si>
    <t>救赎圣誓法术</t>
    <phoneticPr fontId="49" type="noConversion"/>
  </si>
  <si>
    <t>引导神力-救赎</t>
    <phoneticPr fontId="49" type="noConversion"/>
  </si>
  <si>
    <t>王冠圣誓法术</t>
    <phoneticPr fontId="49" type="noConversion"/>
  </si>
  <si>
    <t>引导神力-王冠</t>
    <phoneticPr fontId="49" type="noConversion"/>
  </si>
  <si>
    <t>荣耀圣誓法术</t>
    <phoneticPr fontId="49" type="noConversion"/>
  </si>
  <si>
    <t>引导神力-荣耀</t>
    <phoneticPr fontId="49" type="noConversion"/>
  </si>
  <si>
    <t>守望圣誓法术</t>
    <phoneticPr fontId="49" type="noConversion"/>
  </si>
  <si>
    <t>引导神力-守望</t>
    <phoneticPr fontId="49" type="noConversion"/>
  </si>
  <si>
    <t>武僧</t>
    <phoneticPr fontId="49" type="noConversion"/>
  </si>
  <si>
    <t>蛮子</t>
    <phoneticPr fontId="49" type="noConversion"/>
  </si>
  <si>
    <t>攻击属性</t>
    <phoneticPr fontId="49" type="noConversion"/>
  </si>
  <si>
    <t>默认</t>
  </si>
  <si>
    <t>调整值</t>
    <phoneticPr fontId="49" type="noConversion"/>
  </si>
  <si>
    <t>奇械师</t>
    <phoneticPr fontId="49" type="noConversion"/>
  </si>
  <si>
    <t>毯子</t>
    <phoneticPr fontId="49" type="noConversion"/>
  </si>
  <si>
    <t>——</t>
    <phoneticPr fontId="49" type="noConversion"/>
  </si>
  <si>
    <t>载具（陆运）</t>
    <phoneticPr fontId="49" type="noConversion"/>
  </si>
  <si>
    <t>载具（水运）</t>
    <phoneticPr fontId="49" type="noConversion"/>
  </si>
  <si>
    <t>野兽召唤术</t>
    <phoneticPr fontId="49" type="noConversion"/>
  </si>
  <si>
    <t>精类召唤术</t>
    <phoneticPr fontId="49" type="noConversion"/>
  </si>
  <si>
    <t>暗影衍体召唤术</t>
    <phoneticPr fontId="49" type="noConversion"/>
  </si>
  <si>
    <t>不死生物召唤术</t>
    <phoneticPr fontId="49" type="noConversion"/>
  </si>
  <si>
    <t>异怪召唤术</t>
    <phoneticPr fontId="49" type="noConversion"/>
  </si>
  <si>
    <t>构装体召唤术</t>
    <phoneticPr fontId="49" type="noConversion"/>
  </si>
  <si>
    <t>元素召唤术</t>
    <phoneticPr fontId="49" type="noConversion"/>
  </si>
  <si>
    <t>邪魔召唤术</t>
    <phoneticPr fontId="49" type="noConversion"/>
  </si>
  <si>
    <t>SCAG</t>
  </si>
  <si>
    <t>VGM</t>
  </si>
  <si>
    <t>MTF</t>
  </si>
  <si>
    <t>GTR</t>
  </si>
  <si>
    <t>ERLW</t>
  </si>
  <si>
    <t>EGtW</t>
  </si>
  <si>
    <t>AcqInc.</t>
  </si>
  <si>
    <t>MOT</t>
  </si>
  <si>
    <t>VRGR</t>
  </si>
  <si>
    <t>FTD</t>
  </si>
  <si>
    <t>SCC</t>
  </si>
  <si>
    <t>MotM</t>
  </si>
  <si>
    <t>SAS</t>
  </si>
  <si>
    <t>种族备选</t>
  </si>
  <si>
    <t>亚种选项</t>
  </si>
  <si>
    <t>待选特性</t>
  </si>
  <si>
    <t>已选特性</t>
  </si>
  <si>
    <t>行</t>
  </si>
  <si>
    <t>最小列</t>
  </si>
  <si>
    <t>最大列</t>
  </si>
  <si>
    <t>通用特性</t>
  </si>
  <si>
    <t>属性值加成</t>
  </si>
  <si>
    <t>体质+2，感知+1</t>
  </si>
  <si>
    <t>和矮人语</t>
  </si>
  <si>
    <t>黑暗精灵</t>
  </si>
  <si>
    <t>体质+2，力量+2</t>
  </si>
  <si>
    <t>敦实半身人</t>
  </si>
  <si>
    <t>自选两项属性分别+2/+1或自选三项属性+1</t>
  </si>
  <si>
    <t>，以及任意一门自选语言</t>
  </si>
  <si>
    <t>序号</t>
  </si>
  <si>
    <t>警戒龙纹</t>
  </si>
  <si>
    <t>体质+2，智力+1</t>
  </si>
  <si>
    <t>敏捷+2，智力+1</t>
  </si>
  <si>
    <t>和精灵语</t>
  </si>
  <si>
    <t>敏捷+2，感知+1</t>
  </si>
  <si>
    <t>敏捷+2，魅力+1</t>
  </si>
  <si>
    <t>阴影龙纹</t>
  </si>
  <si>
    <t>苍白精灵</t>
  </si>
  <si>
    <t>和半身人语</t>
  </si>
  <si>
    <t>重复特性</t>
  </si>
  <si>
    <t>动物强化</t>
  </si>
  <si>
    <t>敏捷+2，体质+1</t>
  </si>
  <si>
    <t>亚种错误</t>
  </si>
  <si>
    <t>未选亚种</t>
  </si>
  <si>
    <t>互斥特性</t>
  </si>
  <si>
    <t>熊地精</t>
  </si>
  <si>
    <t>大地精</t>
  </si>
  <si>
    <t>半木精灵</t>
  </si>
  <si>
    <t>初级</t>
  </si>
  <si>
    <t>医疗龙纹</t>
  </si>
  <si>
    <t>半日月精灵</t>
  </si>
  <si>
    <t>招待龙纹</t>
  </si>
  <si>
    <t>半卓尔精灵</t>
  </si>
  <si>
    <t>高级</t>
  </si>
  <si>
    <t>莲源半身人</t>
  </si>
  <si>
    <t>半水生精灵</t>
  </si>
  <si>
    <t>全部属性+1</t>
  </si>
  <si>
    <t>吉斯洋基人</t>
  </si>
  <si>
    <t>吉斯泽莱人</t>
  </si>
  <si>
    <t>自选两项不同属性各+1</t>
  </si>
  <si>
    <t>阿斯莫</t>
  </si>
  <si>
    <t>探索龙纹</t>
  </si>
  <si>
    <t>感知+2，体质+1</t>
  </si>
  <si>
    <t>狗头人</t>
  </si>
  <si>
    <t>畜牧龙纹</t>
  </si>
  <si>
    <t>感知+2，自选一项其他属性+1</t>
  </si>
  <si>
    <t>化兽者</t>
  </si>
  <si>
    <t>创造龙纹</t>
  </si>
  <si>
    <t>智力+2，自选一项其他属性+1</t>
  </si>
  <si>
    <t>通行龙纹</t>
  </si>
  <si>
    <t>敏捷+2，自选一项其他属性+1</t>
  </si>
  <si>
    <t>守护龙纹</t>
  </si>
  <si>
    <t>力量+2，魅力+1</t>
  </si>
  <si>
    <t>和龙语</t>
  </si>
  <si>
    <t>气元素裔</t>
  </si>
  <si>
    <t>土元素裔</t>
  </si>
  <si>
    <t>火元素裔</t>
  </si>
  <si>
    <t>水元素裔</t>
  </si>
  <si>
    <t>龙国血统</t>
  </si>
  <si>
    <t>智力+2，魅力+1</t>
  </si>
  <si>
    <t>瑞雯奈特</t>
  </si>
  <si>
    <t>力量+2，体质+1</t>
  </si>
  <si>
    <t>色彩龙血统</t>
  </si>
  <si>
    <t>宝石龙血统</t>
  </si>
  <si>
    <t>金属龙血统</t>
  </si>
  <si>
    <t>智力+2，敏捷+1</t>
  </si>
  <si>
    <t>和侏儒语</t>
  </si>
  <si>
    <t>智力+2，体质+1</t>
  </si>
  <si>
    <t>抄录龙纹</t>
  </si>
  <si>
    <t>魅力+2，自选两项其他属性各+1</t>
  </si>
  <si>
    <t>和精灵语，以及任意一门自选语言</t>
  </si>
  <si>
    <t>半月精灵</t>
  </si>
  <si>
    <t>半日精灵</t>
  </si>
  <si>
    <t>侦测龙纹</t>
  </si>
  <si>
    <t>暴风龙纹</t>
  </si>
  <si>
    <t>魅力+2，敏捷+1</t>
  </si>
  <si>
    <t>和兽人语</t>
  </si>
  <si>
    <t>智力+1，魅力+2</t>
  </si>
  <si>
    <t>和炼狱语</t>
  </si>
  <si>
    <t>矮人体魄</t>
  </si>
  <si>
    <t>矮人战斗训练</t>
  </si>
  <si>
    <t>工具熟练项</t>
  </si>
  <si>
    <t>石中精妙</t>
  </si>
  <si>
    <t>矮人刚毅</t>
  </si>
  <si>
    <t>矮人护甲训练</t>
  </si>
  <si>
    <t>增强黑暗视觉</t>
  </si>
  <si>
    <t>灵能坚韧</t>
  </si>
  <si>
    <t>灰矮人魔法</t>
  </si>
  <si>
    <t>龙纹法术</t>
  </si>
  <si>
    <t>守卫直觉</t>
  </si>
  <si>
    <t>保护与封锁</t>
  </si>
  <si>
    <t>智力+1，敏捷+2</t>
  </si>
  <si>
    <t>如果你拥有施法或契约魔法职业能力，将以下龙纹法术加入施法职业法术列表中：
1环：警报术，艾嘉西斯之铠
2环：秘法锁，敲击术
3环：守卫刻文，防护法阵
4环：李欧蒙秘藏箱，摩登肯忠犬
5环：防活物护罩</t>
  </si>
  <si>
    <t>魅力+2，智力+1</t>
  </si>
  <si>
    <t>敏锐感官</t>
  </si>
  <si>
    <t>精类血统</t>
  </si>
  <si>
    <t>精灵武器训练</t>
  </si>
  <si>
    <t>额外语言</t>
  </si>
  <si>
    <t>轻捷步伐</t>
  </si>
  <si>
    <t>野性面具</t>
  </si>
  <si>
    <t>日照敏感</t>
  </si>
  <si>
    <t>卓尔魔法</t>
  </si>
  <si>
    <t>卓尔武器训练</t>
  </si>
  <si>
    <t>精类步</t>
  </si>
  <si>
    <t>游泳</t>
  </si>
  <si>
    <t>海之子</t>
  </si>
  <si>
    <t>海之友</t>
  </si>
  <si>
    <t>黯蚀抗性</t>
  </si>
  <si>
    <t>鸦后的祝福</t>
  </si>
  <si>
    <t>狡诈直觉</t>
  </si>
  <si>
    <t>阴影塑形</t>
  </si>
  <si>
    <t>增强敏锐感官</t>
  </si>
  <si>
    <t>月织者的祝福</t>
  </si>
  <si>
    <t>如果你拥有施法或契约魔法职业能力，将以下龙纹法术加入施法职业法术列表中：
1环：易容术，无声幻影
2环：黑暗术，行动无踪
3环：鹰眼术，高等幻影
4环：高等隐形术，幻景
5环：假象术</t>
  </si>
  <si>
    <t>魅力+2，感知+1</t>
  </si>
  <si>
    <t>勇气</t>
  </si>
  <si>
    <t>半身人灵巧</t>
  </si>
  <si>
    <t>天生善匿</t>
  </si>
  <si>
    <t>鬼灵言语</t>
  </si>
  <si>
    <t>医疗直觉</t>
  </si>
  <si>
    <t>医疗之触</t>
  </si>
  <si>
    <t>永远热情好客</t>
  </si>
  <si>
    <t>旅店老板的魔法</t>
  </si>
  <si>
    <t>树林之子</t>
  </si>
  <si>
    <t>木行</t>
  </si>
  <si>
    <t>如果你拥有施法或契约魔法职业能力，将以下龙纹法术加入施法职业法术列表中：
1环：疗伤术，治愈真言
2环：次级复原术，治疗祷言
3环：活力灵光，群体治愈真言
4环：净化灵光，生命灵光
5环：高等复原术</t>
  </si>
  <si>
    <t>如果你拥有施法或契约魔法职业能力，将以下龙纹法术加入施法职业法术列表中：
1环：神莓术，睡眠术
2环：援助术，安定心神
3环：造粮术，李欧蒙小屋
4环：净化灵光，摩登肯私人密室
5环：圣居</t>
  </si>
  <si>
    <t>魅力+2，体质+1</t>
  </si>
  <si>
    <t>猎人直觉</t>
  </si>
  <si>
    <t>寻者魔法</t>
  </si>
  <si>
    <t>调教能手</t>
  </si>
  <si>
    <t>原始链接</t>
  </si>
  <si>
    <t>它们不过是大了点</t>
  </si>
  <si>
    <t>工匠直觉</t>
  </si>
  <si>
    <t>匠师天赋</t>
  </si>
  <si>
    <t>魔力制造</t>
  </si>
  <si>
    <t>快递员之速</t>
  </si>
  <si>
    <t>运动直觉</t>
  </si>
  <si>
    <t>魔法通道</t>
  </si>
  <si>
    <t>哨兵直觉</t>
  </si>
  <si>
    <t>哨兵之盾</t>
  </si>
  <si>
    <t>警觉的护卫</t>
  </si>
  <si>
    <t>如果你拥有施法或契约魔法职业能力，将以下龙纹法术加入施法职业法术列表中：
1环：化兽为友，动物交谈
2环：野兽知觉，安定心神
3环：希望信标，召唤动物
4环：生命灵光，支配野兽
5环：启蒙术</t>
  </si>
  <si>
    <t>如果你拥有施法或契约魔法职业能力，将以下龙纹法术加入施法职业法术列表中：
1环：鉴定术，谭森浮碟术
2环：不灭明焰，魔化武器
3环：召唤箭雨，元素武器
4环：鬼斧神工，塑石术
5环：造物术</t>
  </si>
  <si>
    <t>如果你拥有施法或契约魔法职业能力，将以下龙纹法术加入施法职业法术列表中：
1环：脚底抹油，跳跃术
2环：迷踪步，行动无踪
3环：闪现术，魅影驹
4环：任意门，行动自如
5环：传送法阵</t>
  </si>
  <si>
    <t>如果你拥有施法或契约魔法职业能力，将以下龙纹法术加入施法职业法术列表中：
1环：强令对决，虔诚护盾
2环：守护之链，诚实之域
3环：法术反制，防护能量伤害
4环：防死结界，信仰守卫
5环：毕格比之手</t>
  </si>
  <si>
    <t>龙族血统</t>
  </si>
  <si>
    <t>吐息武器</t>
  </si>
  <si>
    <t>盛气凌人</t>
  </si>
  <si>
    <t>复仇突击</t>
  </si>
  <si>
    <t>繁彩防护</t>
  </si>
  <si>
    <t>灵能心智</t>
  </si>
  <si>
    <t>宝石之翼</t>
  </si>
  <si>
    <t>金属龙吐息</t>
  </si>
  <si>
    <t>魅力+2，力量+1</t>
  </si>
  <si>
    <t>中型或小型。在你选择种族时选择体型</t>
  </si>
  <si>
    <t>侏儒狡黠</t>
  </si>
  <si>
    <t>自然幻术师</t>
  </si>
  <si>
    <t>小型野兽交谈</t>
  </si>
  <si>
    <t>工匠学识</t>
  </si>
  <si>
    <t>修补匠</t>
  </si>
  <si>
    <t>斯涅布力伪装</t>
  </si>
  <si>
    <t>斯涅布力赠礼</t>
  </si>
  <si>
    <t>天才抄写员</t>
  </si>
  <si>
    <t>抄写员的领悟</t>
  </si>
  <si>
    <t>费尔伯格人</t>
  </si>
  <si>
    <t>如果你拥有施法或契约魔法职业能力，将以下龙纹法术加入施法职业法术列表中：
1环：通晓语言，迷幻手稿
2环：动物信使，沉默术
3环：短讯术，巧言术
4环：秘法眼，困惑术
5环：托梦术</t>
  </si>
  <si>
    <t>歌利亚</t>
  </si>
  <si>
    <t>推理直觉</t>
  </si>
  <si>
    <t>魔法侦测</t>
  </si>
  <si>
    <t>驭风者直觉</t>
  </si>
  <si>
    <t>暴风之祝福</t>
  </si>
  <si>
    <t>逆风行事</t>
  </si>
  <si>
    <t>天狗</t>
  </si>
  <si>
    <t>基础游泳速度为30尺</t>
  </si>
  <si>
    <t>如果你拥有施法或契约魔法职业能力，将以下龙纹法术加入施法职业法术列表中：
1环：侦测善恶，侦测毒性和疾病
2环：侦测思想，寻找陷阱
3环：鹰眼术，回避侦测
4环：秘法眼，预言术
5环：通晓传奇</t>
  </si>
  <si>
    <t>如果你拥有施法或契约魔法职业能力，将以下龙纹法术加入施法职业法术列表中：
1环：羽落术，云雾术
2环：造风术，浮空术
3环：雪雨暴，风墙术
4环：召唤次级元素生物，操控水体
5环：召唤元素生物</t>
  </si>
  <si>
    <t>蜥蜴人</t>
  </si>
  <si>
    <t>凶恶</t>
  </si>
  <si>
    <t>坚韧不屈</t>
  </si>
  <si>
    <t>凶蛮攻击</t>
  </si>
  <si>
    <t>斑猫人</t>
  </si>
  <si>
    <t>梭螺鱼人</t>
  </si>
  <si>
    <t>炎狱抗性</t>
  </si>
  <si>
    <t>马拉多米尼之遗赠</t>
  </si>
  <si>
    <t>迪斯遗赠</t>
  </si>
  <si>
    <t>福莱格索斯的遗赠</t>
  </si>
  <si>
    <t>马尔伯吉之遗赠</t>
  </si>
  <si>
    <t>斯泰吉亚之遗赠</t>
  </si>
  <si>
    <t>弥瑙洛斯之遗赠</t>
  </si>
  <si>
    <t>卡尼亚遗赠</t>
  </si>
  <si>
    <t>阿弗纳斯之遗赠</t>
  </si>
  <si>
    <t>地精</t>
  </si>
  <si>
    <t>天界抗力</t>
  </si>
  <si>
    <t>治愈之手</t>
  </si>
  <si>
    <t>光辉掌者</t>
  </si>
  <si>
    <t>费尔伯格人魔法</t>
  </si>
  <si>
    <t>神隐步</t>
  </si>
  <si>
    <t>兽与叶之语</t>
  </si>
  <si>
    <t>小型巨人</t>
  </si>
  <si>
    <t>石之坚韧</t>
  </si>
  <si>
    <t>生于高山</t>
  </si>
  <si>
    <t>兽人</t>
  </si>
  <si>
    <t>原体蛇人</t>
  </si>
  <si>
    <t>复制专家</t>
  </si>
  <si>
    <t>天狗回想</t>
  </si>
  <si>
    <t>拟声</t>
  </si>
  <si>
    <t>啃咬</t>
  </si>
  <si>
    <t>屏息</t>
  </si>
  <si>
    <t>天生护甲</t>
  </si>
  <si>
    <t>自然直觉</t>
  </si>
  <si>
    <t>饥渴之喉</t>
  </si>
  <si>
    <t>人马</t>
  </si>
  <si>
    <t>牛头人</t>
  </si>
  <si>
    <t>猫之利爪</t>
  </si>
  <si>
    <t>猫之天性</t>
  </si>
  <si>
    <t>猫之迅捷</t>
  </si>
  <si>
    <t>吉斯人</t>
  </si>
  <si>
    <t>象族</t>
  </si>
  <si>
    <t>和象族语</t>
  </si>
  <si>
    <t>析米克混生体</t>
  </si>
  <si>
    <t>体质+2，自选一项其他属性+1</t>
  </si>
  <si>
    <t>和维多肯语或精灵语</t>
  </si>
  <si>
    <t>两栖</t>
  </si>
  <si>
    <t>控风操水</t>
  </si>
  <si>
    <t>海之使者</t>
  </si>
  <si>
    <t>海渊守卫</t>
  </si>
  <si>
    <t>维多肯</t>
  </si>
  <si>
    <t>智力+2，感知+1</t>
  </si>
  <si>
    <t>和维多肯语，以及任意一门自选语言</t>
  </si>
  <si>
    <t>幻身灵</t>
  </si>
  <si>
    <t>小型生物的怒火</t>
  </si>
  <si>
    <t>迅捷逃生</t>
  </si>
  <si>
    <t>长肢</t>
  </si>
  <si>
    <t>隐秘</t>
  </si>
  <si>
    <t>突袭攻击</t>
  </si>
  <si>
    <t>精类赠礼</t>
  </si>
  <si>
    <t>集众之运</t>
  </si>
  <si>
    <t>离梦人</t>
  </si>
  <si>
    <t>感知+2，魅力+1</t>
  </si>
  <si>
    <t>和梦族语，以及任意一门自选语言</t>
  </si>
  <si>
    <t>龙吼</t>
  </si>
  <si>
    <t>机关人</t>
  </si>
  <si>
    <t>阿兰寇拉鹰人</t>
  </si>
  <si>
    <t>应激冲刺</t>
  </si>
  <si>
    <t>魔法抗性</t>
  </si>
  <si>
    <t>毒素抗性</t>
  </si>
  <si>
    <t>毒蛇魔法</t>
  </si>
  <si>
    <t>星界知识</t>
  </si>
  <si>
    <t>吉斯洋基灵能</t>
  </si>
  <si>
    <t>精神灵术</t>
  </si>
  <si>
    <t>吉斯泽莱灵能</t>
  </si>
  <si>
    <t>龟人</t>
  </si>
  <si>
    <t>元素裔</t>
  </si>
  <si>
    <t>佛丹人</t>
  </si>
  <si>
    <t>体质+1，魅力+2</t>
  </si>
  <si>
    <t>1-4级为小型，5级后为中型</t>
  </si>
  <si>
    <t>和地精语，以及任意一门自选语言</t>
  </si>
  <si>
    <t>冲锋</t>
  </si>
  <si>
    <t>蹄击</t>
  </si>
  <si>
    <t>马体构造</t>
  </si>
  <si>
    <t>自然亲和</t>
  </si>
  <si>
    <t>狮族</t>
  </si>
  <si>
    <t>体质+2，力量+1</t>
  </si>
  <si>
    <t>和狮族语</t>
  </si>
  <si>
    <t>半羊人</t>
  </si>
  <si>
    <t>角击</t>
  </si>
  <si>
    <t>猛抵冲撞</t>
  </si>
  <si>
    <t>角锤</t>
  </si>
  <si>
    <t>迷宫追忆</t>
  </si>
  <si>
    <t>枭人</t>
  </si>
  <si>
    <t>仙灵</t>
  </si>
  <si>
    <t>身强体壮</t>
  </si>
  <si>
    <t>象之宁静</t>
  </si>
  <si>
    <t>象鼻</t>
  </si>
  <si>
    <t>敏锐嗅觉</t>
  </si>
  <si>
    <t>兔人</t>
  </si>
  <si>
    <t>星界精灵</t>
  </si>
  <si>
    <t>自动侏儒</t>
  </si>
  <si>
    <t>你的身体已经被改变以融入某些动物特征。你现在选择一个动物强化，然后在第5级选择第二个强化
在第1级，从蝠鲼滑翔、灵活攀登、水下适应中选择其一
在第5级，从斗殴附件、甲壳、酸液喷吐中选择其一或选择一个1级时没有选择的选项</t>
  </si>
  <si>
    <t>维多肯式冷静</t>
  </si>
  <si>
    <t>追求卓越，不知疲倦</t>
  </si>
  <si>
    <t>部分两栖</t>
  </si>
  <si>
    <t>流浆体</t>
  </si>
  <si>
    <t>幻身灵本能</t>
  </si>
  <si>
    <t>半血裔</t>
  </si>
  <si>
    <t>中型或小型。在你获得该族系时选择体型</t>
  </si>
  <si>
    <t>双重灵魂</t>
  </si>
  <si>
    <t>心灵训练</t>
  </si>
  <si>
    <t>心灵链接</t>
  </si>
  <si>
    <t>隔离梦境</t>
  </si>
  <si>
    <t>巫咒之子</t>
  </si>
  <si>
    <t>重生者</t>
  </si>
  <si>
    <t>野兽本能</t>
  </si>
  <si>
    <t>化形</t>
  </si>
  <si>
    <t>构装体耐力</t>
  </si>
  <si>
    <t>哨兵式休息</t>
  </si>
  <si>
    <t>一体化防护</t>
  </si>
  <si>
    <t>专业设计</t>
  </si>
  <si>
    <t>飞行</t>
  </si>
  <si>
    <t>禽爪</t>
  </si>
  <si>
    <t>呼风者</t>
  </si>
  <si>
    <t>魔息</t>
  </si>
  <si>
    <t>闪电抗性</t>
  </si>
  <si>
    <t>融入清风</t>
  </si>
  <si>
    <t>土行</t>
  </si>
  <si>
    <t>混入大地</t>
  </si>
  <si>
    <t>火焰抗性</t>
  </si>
  <si>
    <t>烈焰之触</t>
  </si>
  <si>
    <t>强酸抗性</t>
  </si>
  <si>
    <t>水陆两栖</t>
  </si>
  <si>
    <t>呼唤波浪</t>
  </si>
  <si>
    <t>利爪</t>
  </si>
  <si>
    <t>ﾠ屏息ﾠ</t>
  </si>
  <si>
    <t>龟壳防御</t>
  </si>
  <si>
    <t>黑血治疗</t>
  </si>
  <si>
    <t>有限的心灵感应</t>
  </si>
  <si>
    <t>说服力</t>
  </si>
  <si>
    <t>心灵感应的洞察力</t>
  </si>
  <si>
    <t>爪击</t>
  </si>
  <si>
    <t>猎手本能</t>
  </si>
  <si>
    <t>畏惧咆哮</t>
  </si>
  <si>
    <t>顶撞</t>
  </si>
  <si>
    <t>欢喜之跃</t>
  </si>
  <si>
    <t>贪欢者</t>
  </si>
  <si>
    <t>无声羽毛</t>
  </si>
  <si>
    <t>仙灵魔法</t>
  </si>
  <si>
    <t>野兔敏锐</t>
  </si>
  <si>
    <t>野兔感官</t>
  </si>
  <si>
    <t>幸运步法</t>
  </si>
  <si>
    <t>兔子跳</t>
  </si>
  <si>
    <t>星界火</t>
  </si>
  <si>
    <t>星光步</t>
  </si>
  <si>
    <t>星界出神</t>
  </si>
  <si>
    <t>铸订成功</t>
  </si>
  <si>
    <t>机械本质</t>
  </si>
  <si>
    <t>你获得任意两项工具熟练项</t>
  </si>
  <si>
    <t>星界火花</t>
  </si>
  <si>
    <t>枪械精通</t>
  </si>
  <si>
    <t>河马体格</t>
  </si>
  <si>
    <t>巧足</t>
  </si>
  <si>
    <t>滑翔</t>
  </si>
  <si>
    <t>无定型体</t>
  </si>
  <si>
    <t>天生坚韧</t>
  </si>
  <si>
    <t>变化自身</t>
  </si>
  <si>
    <t>副臂</t>
  </si>
  <si>
    <t>无眠</t>
  </si>
  <si>
    <t>不死本质</t>
  </si>
  <si>
    <t>蛛行</t>
  </si>
  <si>
    <t>吸血啃咬</t>
  </si>
  <si>
    <t>心灵传讯</t>
  </si>
  <si>
    <t>巫咒魔法</t>
  </si>
  <si>
    <t>往昔学识</t>
  </si>
  <si>
    <t>灰矮人</t>
    <phoneticPr fontId="49" type="noConversion"/>
  </si>
  <si>
    <t>警戒龙纹</t>
    <phoneticPr fontId="49" type="noConversion"/>
  </si>
  <si>
    <t>雅灵</t>
    <phoneticPr fontId="49" type="noConversion"/>
  </si>
  <si>
    <t>阴影龙纹</t>
    <phoneticPr fontId="49" type="noConversion"/>
  </si>
  <si>
    <t>影灵</t>
    <phoneticPr fontId="49" type="noConversion"/>
  </si>
  <si>
    <t>海精灵</t>
    <phoneticPr fontId="49" type="noConversion"/>
  </si>
  <si>
    <t>鬼智半身人</t>
    <phoneticPr fontId="49" type="noConversion"/>
  </si>
  <si>
    <t>医疗龙纹</t>
    <phoneticPr fontId="49" type="noConversion"/>
  </si>
  <si>
    <t>招待龙纹</t>
    <phoneticPr fontId="49" type="noConversion"/>
  </si>
  <si>
    <t>探索龙纹</t>
    <phoneticPr fontId="49" type="noConversion"/>
  </si>
  <si>
    <t>畜牧龙纹</t>
    <phoneticPr fontId="49" type="noConversion"/>
  </si>
  <si>
    <t>创造龙纹</t>
    <phoneticPr fontId="49" type="noConversion"/>
  </si>
  <si>
    <t>通行龙纹</t>
    <phoneticPr fontId="49" type="noConversion"/>
  </si>
  <si>
    <t>守护龙纹</t>
    <phoneticPr fontId="49" type="noConversion"/>
  </si>
  <si>
    <t>金属龙血统</t>
    <phoneticPr fontId="49" type="noConversion"/>
  </si>
  <si>
    <t>龙国血统</t>
    <phoneticPr fontId="49" type="noConversion"/>
  </si>
  <si>
    <t>瑞雯奈特</t>
    <phoneticPr fontId="49" type="noConversion"/>
  </si>
  <si>
    <t>色彩龙血统</t>
    <phoneticPr fontId="49" type="noConversion"/>
  </si>
  <si>
    <t>宝石龙血统</t>
    <phoneticPr fontId="49" type="noConversion"/>
  </si>
  <si>
    <t>地底侏儒</t>
    <phoneticPr fontId="49" type="noConversion"/>
  </si>
  <si>
    <t>抄录龙纹</t>
    <phoneticPr fontId="49" type="noConversion"/>
  </si>
  <si>
    <t>半木精灵</t>
    <phoneticPr fontId="49" type="noConversion"/>
  </si>
  <si>
    <t>半月精灵</t>
    <phoneticPr fontId="49" type="noConversion"/>
  </si>
  <si>
    <t>半日精灵</t>
    <phoneticPr fontId="49" type="noConversion"/>
  </si>
  <si>
    <t>半卓尔精灵</t>
    <phoneticPr fontId="49" type="noConversion"/>
  </si>
  <si>
    <t>半水生精灵</t>
    <phoneticPr fontId="49" type="noConversion"/>
  </si>
  <si>
    <t>侦测龙纹</t>
    <phoneticPr fontId="49" type="noConversion"/>
  </si>
  <si>
    <t>暴风龙纹</t>
    <phoneticPr fontId="49" type="noConversion"/>
  </si>
  <si>
    <t>提夫林变体</t>
    <phoneticPr fontId="49" type="noConversion"/>
  </si>
  <si>
    <t>巴尔泽布</t>
    <phoneticPr fontId="49" type="noConversion"/>
  </si>
  <si>
    <t>迪斯帕特</t>
    <phoneticPr fontId="49" type="noConversion"/>
  </si>
  <si>
    <t>菲尔娜</t>
    <phoneticPr fontId="49" type="noConversion"/>
  </si>
  <si>
    <t>格莱西雅</t>
    <phoneticPr fontId="49" type="noConversion"/>
  </si>
  <si>
    <t>莱维斯图斯</t>
    <phoneticPr fontId="49" type="noConversion"/>
  </si>
  <si>
    <t>马曼</t>
    <phoneticPr fontId="49" type="noConversion"/>
  </si>
  <si>
    <t>墨菲斯托菲利斯</t>
    <phoneticPr fontId="49" type="noConversion"/>
  </si>
  <si>
    <t>扎瑞尔</t>
    <phoneticPr fontId="49" type="noConversion"/>
  </si>
  <si>
    <t>阿斯莫</t>
    <phoneticPr fontId="49" type="noConversion"/>
  </si>
  <si>
    <t>费尔伯格人</t>
    <phoneticPr fontId="49" type="noConversion"/>
  </si>
  <si>
    <t>歌利亚</t>
    <phoneticPr fontId="49" type="noConversion"/>
  </si>
  <si>
    <t>天狗</t>
    <phoneticPr fontId="49" type="noConversion"/>
  </si>
  <si>
    <t>蜥蜴人</t>
    <phoneticPr fontId="49" type="noConversion"/>
  </si>
  <si>
    <t>斑猫人</t>
    <phoneticPr fontId="49" type="noConversion"/>
  </si>
  <si>
    <t>梭螺鱼人</t>
    <phoneticPr fontId="49" type="noConversion"/>
  </si>
  <si>
    <t>地精</t>
    <phoneticPr fontId="49" type="noConversion"/>
  </si>
  <si>
    <t>狗头人</t>
    <phoneticPr fontId="49" type="noConversion"/>
  </si>
  <si>
    <t>兽人</t>
    <phoneticPr fontId="49" type="noConversion"/>
  </si>
  <si>
    <t>原体蛇人</t>
    <phoneticPr fontId="49" type="noConversion"/>
  </si>
  <si>
    <t>吉斯人</t>
    <phoneticPr fontId="49" type="noConversion"/>
  </si>
  <si>
    <t>人马</t>
    <phoneticPr fontId="49" type="noConversion"/>
  </si>
  <si>
    <t>牛头人</t>
    <phoneticPr fontId="49" type="noConversion"/>
  </si>
  <si>
    <t>象族</t>
    <phoneticPr fontId="49" type="noConversion"/>
  </si>
  <si>
    <t>析米克混生体</t>
    <phoneticPr fontId="49" type="noConversion"/>
  </si>
  <si>
    <t>维多肯</t>
    <phoneticPr fontId="49" type="noConversion"/>
  </si>
  <si>
    <t>幻身灵</t>
    <phoneticPr fontId="49" type="noConversion"/>
  </si>
  <si>
    <t>离梦人</t>
    <phoneticPr fontId="49" type="noConversion"/>
  </si>
  <si>
    <t>化兽者</t>
    <phoneticPr fontId="49" type="noConversion"/>
  </si>
  <si>
    <t>机关人</t>
    <phoneticPr fontId="49" type="noConversion"/>
  </si>
  <si>
    <t>阿兰寇拉鹰人</t>
    <phoneticPr fontId="49" type="noConversion"/>
  </si>
  <si>
    <t>元素裔</t>
    <phoneticPr fontId="49" type="noConversion"/>
  </si>
  <si>
    <t>龟人</t>
    <phoneticPr fontId="49" type="noConversion"/>
  </si>
  <si>
    <t>佛丹人</t>
    <phoneticPr fontId="49" type="noConversion"/>
  </si>
  <si>
    <t>狮族</t>
    <phoneticPr fontId="49" type="noConversion"/>
  </si>
  <si>
    <t>半羊人</t>
    <phoneticPr fontId="49" type="noConversion"/>
  </si>
  <si>
    <t>枭人</t>
    <phoneticPr fontId="49" type="noConversion"/>
  </si>
  <si>
    <t>仙灵</t>
    <phoneticPr fontId="49" type="noConversion"/>
  </si>
  <si>
    <t>兔人</t>
    <phoneticPr fontId="49" type="noConversion"/>
  </si>
  <si>
    <t>自动侏儒</t>
    <phoneticPr fontId="49" type="noConversion"/>
  </si>
  <si>
    <t>流浆体</t>
    <phoneticPr fontId="49" type="noConversion"/>
  </si>
  <si>
    <t>出神</t>
    <phoneticPr fontId="49" type="noConversion"/>
  </si>
  <si>
    <t>精灵不需要睡眠。他们会在需要休息时陷入持续4个小时的半清醒深度冥想中（通用语中描述此状态的词是“出神Trance”）。冥想时精灵也会做梦，这种梦其实是反应多年来现实生活的思维活动。以这种方式休息后，你获得人类睡眠8小时的全部益处。</t>
    <phoneticPr fontId="49" type="noConversion"/>
  </si>
  <si>
    <t>你不需要睡眠，并且不会因魔法效应而陷入睡眠。你能够以4小时的时间完成长休，前提是如果你将这些时间花在一次出神冥想中，在此期间你保留意识。
当你结束这段冥想时，你可以改变你的季节，并且你能够获得两项你未拥有的熟练项，其中每一项都是你从《玩家手册》中选择的一个武器或是工具项。你通过抽取精灵共有记忆来神秘的获得这些熟练项，并且你保留他们直到你完成下次长休。</t>
    <phoneticPr fontId="49" type="noConversion"/>
  </si>
  <si>
    <t>你不需要睡眠，并且不会因魔法效应而陷入睡眠。你能够以4小时的时间完成长休，前提是如果你将这些时间花在一次出神冥想中，在此期间你保留意识。
当你结束这段冥想时，你能够获得两项你未拥有的熟练项，其中每一项都是你从《玩家手册》中选择的一个武器或是工具项。你通过抽取精灵共有记忆来神秘的获得这些熟练项，并且你保留他们直到你完成下次长休。</t>
    <phoneticPr fontId="49" type="noConversion"/>
  </si>
  <si>
    <t>得益于你的翅膀，你拥有等同于你步行速度的飞行速度。当你穿着中甲或重甲时，你无法使用该飞行速度。</t>
    <phoneticPr fontId="49" type="noConversion"/>
  </si>
  <si>
    <t>你拥有隐匿的技能熟练项。</t>
    <phoneticPr fontId="49" type="noConversion"/>
  </si>
  <si>
    <t>你可以在空气和水中呼吸，同时你具有冷冻伤害的抗性。</t>
    <phoneticPr fontId="49" type="noConversion"/>
  </si>
  <si>
    <t>经常对危机保持警惕，让你获得下列增益：
• 你的先攻获得+5加值。
• 你在意识清醒时无法被突袭。
• 你看不到的生物对你发动攻击检定时，无法因此获得优势。</t>
    <phoneticPr fontId="49" type="noConversion"/>
  </si>
  <si>
    <t>你接受的全面肉体锻炼使你获得下列增益：
• 你的力量或敏捷增加1，上限为20。
• 你陷入倒地状态时，起立所需要花费的移动力为5尺
• 攀爬无需额外消耗移动力
• 你在进行助跑调高或跳远时只需要移动5尺，而不是10尺。</t>
  </si>
  <si>
    <t>精通于模仿和演戏，让你获得下列增益：
• 你的魅力增加1，上限为20。
• 当你试图将自己扮演成另一个人时，你进行魅力（欺瞒）和魅力（表演）检定时具有优势。
• 你可以模仿另一个生物的说话口吻和声音。前提是你必须听过被模仿者至少1分钟的说话或发声。对方聆听你的模仿时可以进行一次感知（洞悉）检定，并与你的魅力（欺瞒）检定进行对抗，若对方胜出便会意识到声音是模仿出来的。</t>
  </si>
  <si>
    <t>你凭借一系列的用弩修行，获得下列增益：
• 你使用拥有熟练项的弩时，忽略其装填属性。
• 你在敌对生物５尺范围内发动远程攻击检定时，不会因此而具有劣势。
• 你执行攻击动作以单手武器攻击后，可以用附赠动作使用一把正持握的手弩发动攻击。</t>
  </si>
  <si>
    <t>你精通双持武器进行作战，并获得下列增益：
• 当你两手各持用一把武器时，你的AC获得+1加值。
• 你进行双持武器战斗时所持用的单手近战武器可以不具备轻型武器属性。
• 你可以在正常只能拔出或入鞘一把武器时，同时拔出或入鞘两把单手武器。</t>
  </si>
  <si>
    <t>由于对隐藏的陷阱和密门特别敏感，你获得下列增益：
• 你为搜寻密门进行的感知（察觉）和智力（调查）检定具有优势。
• 为躲避或抵抗陷阱而进行的豁免检定具有优势。
• 你对陷阱所造成的任何伤害都具有抗性。
• 你以快速步调旅行时无需承受通常情况下的被动感知（察觉）值的 -5罚值。</t>
  </si>
  <si>
    <t>由于坚强而持久，你获得下列增益：
• 你的体质加1，上限为20。
• 当你掷生命骰恢复生命值时，每粒生命骰可恢复的最小生命值等于你体质调整值的两倍（最小为２）。</t>
  </si>
  <si>
    <t>获得该专长时，你选择下列一种伤害类型：强酸、冷冻、火焰、闪电、雷鸣。
• 你所施展的法术将忽视你所选择伤害类型的抗性。
• 此外，当你施展法术造成所选类型伤害时，将每粒伤害骰所有1的骰值视为2。
• 你可以重复多次选择该专长，但每次都必须选择一种不同的伤害类型。
先决条件：至少可以施展一个法术</t>
  </si>
  <si>
    <t>着重磨练过如何保持近距离擒抱的技巧后，你获得下列增益：
• 你对被你擒抱的生物所发动的攻击检定具有优势。
• 你可以用动作尝试压制被你擒抱的一个生物。此时，你必须进行另外一次擒抱检定。检定成功，则你与被擒抱者同时陷入束缚状态，直至擒抱终止。
先决条件：力量13或更高</t>
  </si>
  <si>
    <t>你是娴熟的医师，可以快速治疗伤口，让战友迅速重返战斗。你获得下列增益：
• 你使用医疗包为生物稳定伤势时，该生物可以恢复1点生命值。
• 你可以用一个动作消耗医疗包的一次使用次数，并以此护理一个生物使其恢复1d6+4再加上角色生命骰粒数的生命值。该生物在进行短休或长休前无法再次从该专长获取生命值。</t>
  </si>
  <si>
    <t>你学习了重甲的使用方法，你获得下列增益：
• 你的力量加1，上限为20。
• 你获得重甲的熟练项。
先决条件：中甲熟练项</t>
  </si>
  <si>
    <t>你可以用护甲偏斜大多数致命的攻击。你获得下列增益：
• 你的力量加1，上限为20。
• 你着装重甲时，非魔法武器对你造成的钝击、穿刺、挥砍伤害每次减少３点。
先决条件：重甲熟练项</t>
  </si>
  <si>
    <t>你学习了轻甲的使用方法，获得下列增益：
• 你的力量或敏捷加1，上限为20。
• 你获得轻甲的熟练项。</t>
  </si>
  <si>
    <t>你学习了不少语言和密码，获得下列增益：
• 你的智力加1，上限为20。
• 你习得三门自选语言。
• 你可以自创密码。而未经你传授解密方法的人只有两种方法可以破译你的密码：其一是进行智力检定（DC等于你的智力值＋你的熟练加值），或是以魔法破译。</t>
  </si>
  <si>
    <t>你的离奇运气让你可以在最危险的时刻化险为夷。
• 你获得3点幸运点。当你进行攻击检定、属性检定、豁免检定时，你可以花费1幸运点来骰一个额外的d20。你可以选择在掷骰完成后，但结果公布前花费你这1幸运点。此后，你来选择该次攻击检定、属性检定或豁免检定要使用哪粒d20的结果。
• 你也可以在被攻击时选择花费1点幸运点骰一次d20。然后由你决定攻击者该使用哪粒d20。
• 若不止一个生物决定花费幸运点影响同一个骰值，则幸运点互相抵消，即并不会有额外的d20掷骰行为。
• 完成一次长休后你可以恢复所有的幸运点。</t>
  </si>
  <si>
    <t>你拥有一套对付施法者的近身战法，并获得下列增益：
• 你周边5尺范围内的一个生物施展法术后，你可以用你的反应对该生物发动一次近战武器攻击。
• 当你对一名正专注法术的生物造成伤害时，该生物进行维持本次专注的豁免检定时具有劣势。
• 你为抵抗身边５尺范围内生物对你施展的法术而进行的豁免检定具有优势。</t>
  </si>
  <si>
    <t>接受战技训练后，你可以使用一些独特的战技。你获得下列增益：
• 你选择习得战士战斗大师范型战技列表中的两个战技。如果所习得的战技需要目标进行豁免检定来抵抗战技效果，则其豁免DC等于８＋你的熟练加值＋你的力量或敏捷调整值（自选）。
• 你获得一枚d6的卓越骰（该骰可加到任何你以其他方式获得的卓越骰中）。此卓越骰可用于启动你的战技。此卓越骰一经使用即消耗，并在完成短休或长休后恢复。</t>
  </si>
  <si>
    <t>你修习过如何在着装中甲时移动，并获得下列增益：
• 着装中甲不再使你进行敏捷（隐匿）检定时具有劣势。
• 着装中甲时，若你的敏捷在16或以上，你的AC可以增加3点而非2点。
先决条件：中甲熟练项</t>
  </si>
  <si>
    <t>你十分灵敏而快速。你获得下列增益：
• 你的移动速度增加10尺。
• 你执行疾走动作的相应回合内，在困难地形的移动不再消耗额外的移动力。
• 你对一个生物发动近战攻击后，无论命中与否，本回合剩下时间里你都不会引发该生物的借机攻击。</t>
  </si>
  <si>
    <t>你习得如何使用中甲和盾牌，并获得下列增益：
• 你的力量或敏捷加1，上限为20。
• 你获得中甲和盾牌的熟练项。
先决条件：轻甲熟练项</t>
  </si>
  <si>
    <t>你能够迅速把握周遭环境的要点，并获得下列增益：
• 你的智力或感知加1，上限为20。
• 某生物在讲话时，若你可以看见目标的嘴且你可以理解其语言，则你就可以依靠读唇来解读目标正在讲什么。
• 你的被动感知（察觉）值和被动智力（调查）值带+5加值。</t>
  </si>
  <si>
    <t>选择1种属性，并获得下列增益：
• 所选属性加1，上限为20。
• 你进行所选属性的豁免检定时可以加上你的熟练加值。</t>
  </si>
  <si>
    <t>你的掌握的技术让你在击破敌人防御时占尽优势，并获得下列增益：
• 你的借机攻击命中目标时，目标在本回合剩下时间内的移动速度降至0。
• 生物即使执行撤离动作离开你的触及范围也会引发你的借机攻击。
• 处于你周边５尺范围内的生物对除你外的目标发动攻击后（且被攻击者没有这个专长），你可以用你的反应对该攻击者发动一次近战攻击。</t>
  </si>
  <si>
    <t>你是利用阴影潜伏的专家。你获得下列增益：
• 你可以在轻度遮蔽的状态下尝试躲藏。
• 当你对某生物处于躲藏状态时，你对其发动的远程武器攻击如果未命中便不会暴露你的位置。
• 你在微光环境下进行依靠视觉的感知（察觉）检定时不会具有劣势。
先决条件：敏捷13或更高</t>
  </si>
  <si>
    <t>你学会如何在混乱的战场上施展法术，并获得下列增益：
• 当你受到伤害时，你为维持法术专注而进行的体质豁免具有优势。
• 你在持握武器和盾牌时依然可以满足施法所需的姿势成分。
• 当敌方生物的移动引发你的借机攻击时，你可以用你的反应对该生物施展一个法术而非发动借机攻击。该法术的施法时间必须是1动作，且该生物必须为法术的唯一目标。
先决条件：至少可以施展一个法术</t>
  </si>
  <si>
    <t>经过大量练习后，你熟练的掌握了各种武器的使用方法，并获得下列增益：
• 你的力量或敏捷加1，上限为20。
• 你从简易武器和军用武器列表中，共选择四种武器并获得其熟练项。</t>
  </si>
  <si>
    <t>获得该专长时，你的生命值上限增加你当前等级两倍的数值。并且在你随后每次升级时，生命值上限都会额外加2。</t>
    <phoneticPr fontId="49" type="noConversion"/>
  </si>
  <si>
    <t>你习得将武器重量作为优势的技巧，使你的攻击力大增。你获得下列增益：
• 你在自己回合内用近战武器造成重击，或将一个生物生命值降至0时，可以用附赠动作发动一次近战武器攻击。
• 你在使用具有熟练项的重型武器发动近战攻击前，可以选择让本次攻击检定承受-5罚值。若本次攻击命中，则其伤害掷骰获得+10加值。</t>
    <phoneticPr fontId="49" type="noConversion"/>
  </si>
  <si>
    <t>你可以花费10分钟来激励同伴，鼓舞他们战斗的信心。此时，你可以指定30尺内至多6名友方生物（可以包括你自己）作为目标。目标生物必须能够看见你或者能够听到你的声音的，且必须能够理解你。被指定的生物将因你获得临时生命值，其数值等于你的等级加上你的魅力调整值。此后直至其完成一次短休或长休前，目标生物都无法再从该专长获益。
先决条件：魅力13或更高</t>
    <phoneticPr fontId="49" type="noConversion"/>
  </si>
  <si>
    <t>你可以单单依靠心算来记录时间和方向的变换，并且可以做到精确无比。你获得下列增益：
• 你的智力加1，上限为20。
• 你始终知道北边的方位。
• 你始终知道距离下一次日出或日落还有多久。
• 你可以完美复述出一个月内你所听到或看到的任何事。</t>
    <phoneticPr fontId="49" type="noConversion"/>
  </si>
  <si>
    <t>骑乘时的你就像一头怪兽。当正在骑乘且未处于失能状态时，你获得下列增益：
• 你对比你的坐骑体型更小的未骑乘生物发动近战攻击时，所进行的攻击检定具有优势。
• 你可以强迫针对你坐骑的攻击转而针对你自己。
• 当你的坐骑受某效应影响而需要进行敏捷豁免来减半伤害时，如果豁免成功则可以不承受伤害，豁免失败则伤害减半。</t>
    <phoneticPr fontId="49" type="noConversion"/>
  </si>
  <si>
    <t>你可以用触及武器与敌人近身缠斗。你获得下列增益：
• 当你只使用长柄刀、戟、长棍或矛执行攻击动作时，可以用附赠动作以武器手柄的末端发动一次近战攻击。这次攻击与主攻击使用同样的调整值，其伤害骰为d4，伤害类型为钝击伤害。
• 当你持握长柄刀、戟、长矛、长棍或矛时，进入你触及范围的生物会引发你的借机攻击。</t>
    <phoneticPr fontId="49" type="noConversion"/>
  </si>
  <si>
    <t>你是熟练掌握了远程武器的使用方式，使看似不可能的射击都能成功命中。你获得下列增益：
• 攻击最大射程内的敌人时，你的远程武器攻击检定不会具有劣势。
• 你的远程武器攻击忽视半身掩护和四分之三掩护状态。
• 你用拥有熟练项的远程武器发动攻击前，可以选择使该次攻击的攻击检定承受 -5减值。若本次攻击中，则其伤害掷骰获得 +10加值。</t>
    <phoneticPr fontId="49" type="noConversion"/>
  </si>
  <si>
    <t>你的盾牌不只可以用于防御，还可以用来攻击。你在持用盾牌时获得下列增益：
• 你在自己的回合内执行攻击动作时，可以用附赠动作以盾牌尝试推撞一个在你5尺范围内的生物。
• 如果你不处于失能状态，则你为抵抗以你为唯一目标的法术或其他伤害性效应而进行敏捷豁免时，可以将你盾牌的AC添加到相应的敏捷豁免中。
• 当某个效应使让你进行豁免成功可以伤害减半的敏捷豁免检定时，你可以用你的反应将盾牌挡在你与效应原点之间，此时豁免成功则不受任何伤害。</t>
    <phoneticPr fontId="49" type="noConversion"/>
  </si>
  <si>
    <t>你习惯了粗暴而混乱的肉体斗殴，而随手拿个东西都能成为你的武器。你获得下列增益：
• 你的力量或体质加1，上限为20。
• 你获得临时武器的熟练项。
• 你徒手打击的伤害骰变为1d4。
• 你在自己的回合内用徒手打击或临时武器命中敌人时，可以用附赠动作尝试对该敌人进行一次擒抱。</t>
    <phoneticPr fontId="49" type="noConversion"/>
  </si>
  <si>
    <t>你的民族有着非同寻常的好运，且你学过如何在看到同伴难堪之时将其秘密地借给他们。你也不知道你是怎么做到的。你只是想想，那就实现了，这是命运的赠礼！
如果你周围30尺内你可见的盟友在攻击检定、技能检定、或豁免检定的d20中骰出了1，你可以用反应使他重骰一次，不过盟友必须接受新的结果。
使用此能力后，直到下个你的回合结束前你无法使用你的 幸运Lucky 种族特性。
先决条件：半身人</t>
    <phoneticPr fontId="49" type="noConversion"/>
  </si>
  <si>
    <t>气愤之时，你展露威慑之力。你获得以下好处。
• 你的力量、体质、或魅力+1，上限为20。
• 你可以消耗你的吐息武器次数以发起咆哮，以取代吐息出毁灭性的能量。周围30尺内由你选择的每个生物都必须通过一次感知豁免（DC=8+你的熟练加值+你的魅力调整值）。如果生物无法听到或看到你，它将自动通过此豁免。如果豁免失败，目标将陷入对你的 恐慌frightened ，持续一分钟。如果恐慌者受到任何伤害，他可以重复这一豁免，豁免成功时在他身上的这一效应将提前结束。
先决条件：龙裔</t>
    <phoneticPr fontId="49" type="noConversion"/>
  </si>
  <si>
    <t>你显出自你龙族先祖的利爪与鳞片，你获得以下好处：
• 你的力量、体质、或魅力+1，上限为20。
• 你的鳞片变得无比坚硬。如果你没穿着任何护甲，你的AC将变为13+你的敏捷调整值。你可以在装着盾牌时仍享受此增益。
• 你的指尖长出可伸缩的利爪，伸出或缩回爪子不消耗动作。这些爪子是可以用来发动徒手打击的天生武器，如果用他们击中了目标，将造成 1d4+你的力量调整值 的挥砍伤害，而非正常徒手打击造成的钝击伤害。
先决条件：龙裔</t>
    <phoneticPr fontId="49" type="noConversion"/>
  </si>
  <si>
    <t>你的血脉中流淌着矮人英雄的血液。你获得以下好处
• 你的体质+1，上限为20。
• 当你在战斗中执行 回避Dodge 动作时，你可以消耗一颗生命骰来治愈自己。投掷那枚生命骰，你恢复其骰值外加上你的体质调整值点的生命值（恢复量最低为1点）。
先决条件：矮人</t>
    <phoneticPr fontId="49" type="noConversion"/>
  </si>
  <si>
    <t>那些精灵们能力如传说般精准，尤其精灵弓箭手与精灵施法者为甚，你在依赖精确度而非蛮力的攻击检定上有着高超的精准度。你获得下列增益：
• 你的敏捷、智力、感知、或魅力+1，上限为20。
• 当你在攻击检定上具有优势，且这次攻击检定使用敏捷、智力、感知、或魅力时，你可以重骰其中一枚骰子一次。
先决条件：精灵或者半精灵</t>
    <phoneticPr fontId="49" type="noConversion"/>
  </si>
  <si>
    <t>你的族人在幻术系魔法的技巧上有着极高的天赋。你曾习得一种能在受伤时迅速隐去的魔法技巧。你获得下列增益：
• 你的智力+1，上限为20。
• 当你受到伤害之后，你可以立刻用反应魔法性的将自己化为 隐形invisible ，持续直至你的下一回合结束，如果你发动攻击、造成伤害、或迫使别人进行豁免这一效果也将提前结束。一旦你使用了这一能力，直到你完成一次短休或长休前你都不能再次使用它。
先决条件：侏儒</t>
    <phoneticPr fontId="49" type="noConversion"/>
  </si>
  <si>
    <t>你对高等精灵学识的研究已然为你解锁了一些只有极少数其他精灵才得以掌控的精类力量，当然，你的雅灵表亲除外。依靠你的精类先祖，你可以大步迈入妖精荒野以缩减你从某地到它地的道路，你获得下列增益：
• 你的智力或魅力+1，上限为20。
• 你习得如何说、读、写木族语。
• 你习得法术 迷踪步misty step ，且你可以无需消耗法术位的施展它一次。而你在完成一次短休或长休后你重获以此免费施展这个法术的使用次数。智力是你施展这个法术的施法属性。
先决条件：高等精灵</t>
    <phoneticPr fontId="49" type="noConversion"/>
  </si>
  <si>
    <t>你学会了如何召唤地狱火，让它听从你的指挥为你而用，你获得下列增益：
• 你的智力或魅力+1，上限为20。
• 当你为你施展的法术投掷火焰伤害时，你可以重骰其中任何骰值为1的火焰伤害骰，但你必须接受重骰后的结果，哪怕重骰后它依旧是1。
• 每当你施展造成火焰伤害的法术时，你都可以让火焰环绕在你身旁，持续直至你的下个回合结束。那些火焰不会伤害你或你的物品。它们将提供30尺明亮光照与那之外30尺微光光照。此火焰现形期间，任何在你周围5尺范围内，对你发动近战攻击并命中的生物将受到1d4点火焰伤害。
先决条件：提夫林</t>
    <phoneticPr fontId="49" type="noConversion"/>
  </si>
  <si>
    <t>邪魔之血令你变得无比强大，为你解锁一些邪魔拥有的强大韧性。你获得下列增益：
• 你的体质+1，上限为20。
• 你获得冷冻伤害和毒素伤害的抗性
• 你在对抗 中毒Poisoned 效应时所做的豁免具有优势。
先决条件：提夫林</t>
    <phoneticPr fontId="49" type="noConversion"/>
  </si>
  <si>
    <t>你内在的怒火在永无止境的燃烧着，你获得下列增益：
• 你的力量或体质+1，上限为20。
• 当你用简易武器或军用武器发动的攻击命中时，你可以额外掷一枚武器的伤害骰并将其作为额外伤害加入到本次攻击的伤害中，伤害类型与武器本身的伤害类型相同。一旦你使用了这一能力，直到你完成一次短休或长休前你都不能再次使用它。
• 使用 坚韧不屈Relentless Endurance 种族特性之后，你可以立即以反应进行一次武器攻击。
先决条件：半兽人</t>
    <phoneticPr fontId="49" type="noConversion"/>
  </si>
  <si>
    <t>天赋异禀</t>
    <phoneticPr fontId="49" type="noConversion"/>
  </si>
  <si>
    <t>你学习那些新鲜事物时总是有着极高的天赋，你获得下列增益：
• 你获得一项自选技能的熟练、一种自选工具的熟练，且娴熟于一种自选的语言。
• 选择一种你已具有熟练项的技能。你获得这种技能的专精，这意味着你进行的与技能相关的属性检定中你可以加入双倍的熟练加值。你选择的这个技能必须是未受益于其他的此类双倍熟练特性（例如 专精Expertise）的技能。
（校注：原文如此，确实写的不是“说、读、写”而是“娴熟fluency”）
先决条件：人类或半精灵或者半兽人</t>
    <phoneticPr fontId="49" type="noConversion"/>
  </si>
  <si>
    <t>命运在有人想要伤害你时眷顾于你，你获得下列增益：
• 你的敏捷、体质、或魅力+1，上限为20。
• 当一个你可见的生物以攻击检定命中你时，你可以使用你的反应迫使那个生物重骰之。此能力一旦被使用，直到你下次在战斗开始时骰先攻、你完成一次短休、或你完成一次长休之前都无法再次使用它。先决：半身人</t>
    <phoneticPr fontId="49" type="noConversion"/>
  </si>
  <si>
    <t>兽人狂怒</t>
    <phoneticPr fontId="49" type="noConversion"/>
  </si>
  <si>
    <t>龙之威怖</t>
    <phoneticPr fontId="49" type="noConversion"/>
  </si>
  <si>
    <t>龙之鳞爪</t>
    <phoneticPr fontId="49" type="noConversion"/>
  </si>
  <si>
    <t>矮人坚毅</t>
    <phoneticPr fontId="49" type="noConversion"/>
  </si>
  <si>
    <t>匿影无踪</t>
    <phoneticPr fontId="49" type="noConversion"/>
  </si>
  <si>
    <t>妖精传送</t>
    <phoneticPr fontId="49" type="noConversion"/>
  </si>
  <si>
    <t>炼狱体质</t>
    <phoneticPr fontId="49" type="noConversion"/>
  </si>
  <si>
    <t>低身机敏</t>
    <phoneticPr fontId="49" type="noConversion"/>
  </si>
  <si>
    <t>你有这在你族群中不寻常的机敏，你获得以下好处: 
• 你的力量或敏捷+1，上限为20。
• 你的步行速度提升5尺。
• 你获得运动技能或特技技能的熟练（由你选择）。
• 你为脱离擒抱所做的力量（运动）与敏捷（特技）检定具有优势。
先决条件：矮人或者小体型</t>
    <phoneticPr fontId="49" type="noConversion"/>
  </si>
  <si>
    <t>你学到了更多种类的黑暗精灵魔法。
• 你习得并可以随意施展法术 侦测魔法detect magic ，无需消耗法术位。同时，你习得法术 浮空术levitate 与法术 解除魔法dispel magic ，你可以不消耗法术位的施展这两个法术各一次。而你在完成一次长休后你重获以此免费施展这两个法术的使用次数。魅力是你施展这三个法术的施法属性。
先决条件：卓尔精灵</t>
    <phoneticPr fontId="49" type="noConversion"/>
  </si>
  <si>
    <t>你学会由你的族人保护和尊敬的原初之木的魔法。
• 你习得一个你自选的德鲁伊戏法。同时，你习得法术 大步奔行longstrider 与法术 行动无踪pass without trace 。你可以不消耗法术位的施展这两个法术各一次。而你在完成一次长休后你重获以此免费施展这两个法术的使用次数。感知是你施展这三个法术的施法属性。
先决条件：木精灵</t>
    <phoneticPr fontId="49" type="noConversion"/>
  </si>
  <si>
    <t>奇械学徒</t>
    <phoneticPr fontId="49" type="noConversion"/>
  </si>
  <si>
    <t>你已习得些许奇械师的创造力。
• 你从奇械师法术列表中选择并习得一个戏法。此外，你从该法术列表中选择并习得一个一环法术。智力是你施展这些法术的施法属性。
• 你可以在不消耗法术位的情况下施展一次来自此专长的一环法术。你必须在完成一次长休后才能再次这样做。你也可以正常消耗法术位来施展该法术。
• 你获得你所选的一项工匠工具熟练，并且你可以将该工具作为施展任何以智力为施法属性的法术的法器。</t>
    <phoneticPr fontId="49" type="noConversion"/>
  </si>
  <si>
    <t>花费在专研厨艺上的工夫已然有了回报，使你获得了以下增益：
• 你的体质或感知增加1，上限为20。
• 你获得厨师工具的熟练项，如果你还没有的话。
• 作为短休的一部分，只要你手上有原料和厨师工具，你便可以烹饪特制料理。你可以为特定数量的生物准备这种食物，其数量等同于4+你的熟练加值。在本次短休结束时，任何食用了料理并且花费了一个或更多生命骰来恢复生命值的生物恢复额外1d8点生命值。
• 在花费一小时精心制作后，或者在完成一次长休时，你可以制作等同于你熟练加值个数的餐点。这些餐点在制作完成后持续八小时。任何食用餐点的生物都能获得等同于你熟练加值的临时生命值。</t>
    <phoneticPr fontId="49" type="noConversion"/>
  </si>
  <si>
    <t>你擅长于碾碎敌人的技艺，你获得了以下增益：
• 你的力量或体质增加1，上限为20。
• 每回合一次，当你用造成钝击伤害的攻击命中一个生物时，只要目标的体型并未比你大一级以上，你就可以将目标移动五尺至一个未被占据的空间。
• 当你用造成钝击伤害的攻击命中一个生物并造成重击时，直至你的下一回合开始，所有针对该生物的攻击检定具有优势。</t>
    <phoneticPr fontId="49" type="noConversion"/>
  </si>
  <si>
    <t>对神秘学的研究使你从邪术师职业中习得了一项你自选的魔能祈唤。本专长获取的魔能祈唤中使用的施法属性为你的智力、感知、或魅力（在你选择这个专长时选择它）。如果该祈唤具有任何先决条件，则仅当你是一位满足该条件的邪术师时才能选择该祈唤。
当你升级时，你可以将该祈唤更换为邪术师职业中的另一个魔能祈唤（关键属性不变）。
先决条件：施法或契约魔法特性</t>
    <phoneticPr fontId="49" type="noConversion"/>
  </si>
  <si>
    <t>暴露在妖精荒野的魔法之下的经历已经改变了你，使你获得了以下增益：
• 你的智力，感知或魅力提升1，上限为20。
• 你习得迷踪步以及一个由你选择的一环法术。该一环法术必须是预言系或者惑控系法术。你可以在不消耗法术位的情况下施展这些法术各一次。当你以此法施展某个法术后，你不能再次以此法施展该法术，直至你完成一次长休。你也可以消耗合适的法术位来施展这些法术。这些法术的施法属性是你由此专长提升的属性。</t>
    <phoneticPr fontId="49" type="noConversion"/>
  </si>
  <si>
    <t>你的军事训练帮助你养成了一种特定的战术风格。因此，你可以从战士职业中选择并习得一项战斗风格。如果你已经有一项战斗风格，你不能选择相同的战斗风格。
每当你升级并达到获得属性值提升特性的等级时，你可以来自此专长的战斗风格替换为战士职业中的另一项你未习得的战斗风格。
先决条件：军用武器熟练</t>
    <phoneticPr fontId="49" type="noConversion"/>
  </si>
  <si>
    <t>你持枪时的手快眼明使你获得了以下增益：
• 你的敏捷提升1，上限为20。
• 你获得枪械的熟练项（见城主指南的“枪械”栏目）。
• 你忽略枪械的装填属性。
• 你在敌对生物５尺范围内发动远程攻击检定时，不会因此而具有劣势。</t>
    <phoneticPr fontId="49" type="noConversion"/>
  </si>
  <si>
    <t>你习得如何往你的法术上施加你的意志，从而改变它们的功能。
• 你从术士职业中选择并习得两项超魔法选项。除非特别说明，否则一个法术施展时只能应用一种超魔法项。当你升级并达到获得属性值提升特性的等级时，你可以将其中一项超魔法选项替换为术士职业中的另一项超魔法选项。
• 你获得2点术法点，用于施展超魔法（这些术法点和任何其他来源的术法点叠加，但只能用于超魔法）。你在完成长休后重获所有已消耗的术法点。
先决条件：施法或契约魔法特性</t>
    <phoneticPr fontId="49" type="noConversion"/>
  </si>
  <si>
    <t>你已经可以在战斗中造成精准的穿刺。你获得以下好处：
• 你的力量或敏捷提升1，上限为20。
• 每回合一次，当你用造成穿刺伤害的攻击命中一个生物时，你可以重投其中一个伤害骰。你必须使用重投的结果。
• 当你用造成穿刺伤害的攻击命中一个生物并且造成重击时，你可以在计算穿刺伤害时投一个额外的伤害骰。</t>
    <phoneticPr fontId="49" type="noConversion"/>
  </si>
  <si>
    <t>你可以准备并使用致命的毒药。你获得以下好处：
• 当你投造成毒素伤害的伤害骰时，无视目标的伤害抗性。
• 你可以以一个附赠动作为一把武器或一枚弹药涂毒，而不是一个动作。
• 你获得制毒工具的熟练项，如果你还没有的话。花费一小时使用制毒工具进行制作后，并且消耗价值50gp的材料后，你可以制造一定数量的猛毒，其数量等同于你的熟练加值。当被用于一把武器或一枚弹药后，猛毒的毒性持续一分钟或直至你用该武器或弹药攻击命中后。当一个生物受到来自涂毒武器或弹药的伤害后，该生物必须成功通过DC14的体质豁免，否则将受到2d8毒素伤害并陷入中毒状态，直至你的下回合结束。</t>
    <phoneticPr fontId="49" type="noConversion"/>
  </si>
  <si>
    <t>暴露在堕影冥界的魔法之下的经历已经改变了你，使你获得了以下增益：
• 你的智力，感知或魅力提升1，上限为20。
• 你习得隐形术以及一个由你选择的一环法术。该一环法术必须是幻术系或死灵系法术。你可以在不消耗法术位的情况下施展这些法术各一次。当你以此法施展某个法术后，你不能再次以此法施展该法术，直至你完成一次长休。你也可以消耗合适的法术位来施展这些法术。这些法术的施法属性是你由此专长提升的属性。</t>
    <phoneticPr fontId="49" type="noConversion"/>
  </si>
  <si>
    <t>你已磨练了自身的特定技艺，并获得了以下好处：
• 你选择一项属性提升1，上限为20.
• 你选择并获得一项技能的熟练项。
• 选择一项你熟练的技能，你获得该技能的专精，可以将两倍的熟练加值加到使用该技能进行的属性检定上。你选择的技能必须未受益于其他使熟练加值翻倍的特性，例如专精特性。</t>
    <phoneticPr fontId="49" type="noConversion"/>
  </si>
  <si>
    <t>你已熟知该砍向何处以造成最重的伤害。你获得以下好处：
• 你的力量或敏捷提升1，上限为20。
• 每回合一次，当你用造成挥砍伤害的攻击命中一个生物时，你可以使其速度降低10尺，直到你的下回合开始。
• 当你用造成挥砍伤害的攻击命中一个生物并造成重击时，你将其重伤，使其所作的攻击检定具有劣势，直至你的下回合开始。</t>
    <phoneticPr fontId="49" type="noConversion"/>
  </si>
  <si>
    <t>你习得用你的意念移动物体的能力。你获得以下好处：
• 你的智力，感知或魅力提升1，上限为20。
• 你习得法师之手戏法，你施展它无需语言成分或材料成分，并且你可以让该幽灵手隐形。如果你已经习得该戏法，你施展该戏法时其施法距离提升30尺。该戏法的施法属性是你由此专长提升的属性。
• 以一个附赠动作，你可以尝试以念动力推撞30尺内的一个你可见的生物。当你这样做时，目标必须成功通过一次力量豁免（DC为8+你的熟练加值+你由此专长提升的属性的属性调整值）否则将被你拉近或推离五尺。目标生物可以自愿放弃豁免。</t>
    <phoneticPr fontId="49" type="noConversion"/>
  </si>
  <si>
    <t>你觉醒了用意念与其他生物交流的能力。你获得以下好处：
• 你的智力，感知或魅力提升1，上限为20。
• 你可以和60尺内任何你可见的生物用心灵感应进行交流。你的心电沟通以一种你已知的语言的形式进行，该生物必须懂得该语言才能理解你。你的主动沟通并未给予该生物以心灵感应的形式回复你的能力。
• 你可以施展侦测思想法术，无需法术位和法术成分。以此法施法后，你在完成一次长休前不能再这样做。该法术的施法属性是你由此专长提升的属性。如果你拥有二环或更高的法术位，你可以消耗这些法术位施展该法术。</t>
    <phoneticPr fontId="49" type="noConversion"/>
  </si>
  <si>
    <t>你显现出异种龙纹。请设定它的外观和它造成的缺陷。你获得以下增益：
• 体质属性增加1，上限20。 
• 你从术士法术列表中习得一个戏法。然后，从术士法术列表中选择一个1环法术。你习得该法术，并能通过龙纹施展它。当你施展过一次此法术后，必须经过一次短休或长休才能再次通过龙纹施展。对你而言，这些法术的施法属性是体质。 
• 当你通过龙纹施展一环法术时，你能消耗一个生命骰并掷骰。如果掷骰结果是偶数，你将获得等同掷骰结果的临时生命值。如果掷骰结果是奇数，距离你30尺内的一个随机生物（不包括你）受到等同掷骰结果的力场伤害。如果范围内没有其他生物，则你会受到该伤害。 
你根据异种龙纹缺陷表产生一个随机缺陷。
异种龙纹缺陷 d8 缺陷 
1 你的龙纹给你带来生理上的持续疼痛。 
2 你的龙纹会对你细语，但你可能不知道它想对你说什么。 
3 当你紧张时，你的龙纹发出嘶嘶声。 
4 你龙纹周围的皮肤变得烧焦、鳞片化或萎缩。 
5 你周围的动物感到不安。 
6 你使用龙纹时情绪会剧烈波动。 
7 每当你使用龙纹，你的外观就会发生细微的变化。 
8 你使用龙纹后会做可怕的噩梦。 
先决条件：没有龙纹
额外选项：更强的异种力量 Option: Greater Aberrant Powers
在DM的选择下，拥有异种龙纹专长的角色有机会展现更大的力量。当你达到10级时，这个角色有10%的几率从《城主指南》第7章的选项中获得传奇恩惠。如果角色没有得到传奇恩惠，他在下次升级时仍有10%的机会获得。
如果角色得到了一个传奇恩惠，由DM来决定具体效果或随机决定效果。该角色同时永久性地失去一个生命骰，其最大生命值相应地减少一个生命骰加上其体质调整值（最少减少1）。这一减少无法以任何方法解除。</t>
    <phoneticPr fontId="49" type="noConversion"/>
  </si>
  <si>
    <t>你是一个双刃弯刀大师的后代，而这种能力的一部分已经传给了你。你获得下列增益：
• 你的力量或敏捷增加1，上限为20。
• 当你双手持握双刃弯刀时，你的AC得到+1加值。
• 在使用双刃弯刀时视同具有灵巧属性。
先决条件: 精灵
双刃弯刀是一种军用武器，重 6 磅，攻击命中造成 2d4 挥砍伤害。 具有双手属性与以下特殊属性：
如果你在你的回合的攻击动作中使用了双刃弯刀发动攻击，你可以紧接着使用一个附赠动作来再发动一次近战攻击。此攻击命中时造成1d4挥砍伤害，而非2d4。</t>
    <phoneticPr fontId="49" type="noConversion"/>
  </si>
  <si>
    <t>50gp</t>
    <phoneticPr fontId="49" type="noConversion"/>
  </si>
  <si>
    <t>触及，特殊
特殊：使用一把骑枪攻击5尺范围内目标时具有劣势。另外，当你不在骑乘状态时一根骑枪需要两只手使用。</t>
    <phoneticPr fontId="49" type="noConversion"/>
  </si>
  <si>
    <t>特殊，投掷（射程5/15）
特殊：一只被捕网命中的大型或更小体型生物将被束缚，束缚状态持续至该生物解脱。捕网不能影响无形体生物，以及巨型或更大体型的生物。一个生物可以用动作进行一次DC10的力量检定，以解脱自己或其触及范围内另一生物的束缚状态。对网造成5点挥砍伤害（AC10）同样可以解脱生物的束缚状态而不伤害及生物本身，并以此摧毁捕网进而终止束缚效应。当用捕网以一个动作、附赠动作或反应进行攻击时，你只能攻击一次，而不论你正常情况下可发动攻击的次数。</t>
    <phoneticPr fontId="49" type="noConversion"/>
  </si>
  <si>
    <t>和精灵语</t>
    <phoneticPr fontId="49" type="noConversion"/>
  </si>
  <si>
    <t>，以及任意一门自选语言</t>
    <phoneticPr fontId="49" type="noConversion"/>
  </si>
  <si>
    <t>和地精语，以及任意一门自选语言</t>
    <phoneticPr fontId="49" type="noConversion"/>
  </si>
  <si>
    <t xml:space="preserve">你不需要睡眠，魔法效应亦无法使你陷入睡眠。你能花费4小时进行出神般的冥想来完成一次长休，且整个冥想过程中你都能保持清醒。
当你完成出神时，你获得一个自选技能的熟练项，与一件自选武器或自选工具的熟练项（从《玩家手册》中选择它们）。你通过抽取共享的精灵记忆及星界位面的实体经历，神秘地获得了这些熟练，这个好处会一直持续到你完成下一次长休。 </t>
    <phoneticPr fontId="49" type="noConversion"/>
  </si>
  <si>
    <t xml:space="preserve"> 使用一个附赠动作，你能魔法地传送到30尺内一处你可见且未被占据的空间里。你能使用本特质的次数与你的熟练加值相同，当你完成一次长休后，你恢复所有已使用的次数。</t>
    <phoneticPr fontId="49" type="noConversion"/>
  </si>
  <si>
    <t xml:space="preserve">你习得下列一项你选择的戏法：舞光术Dacing Lights 、 光亮术Light 、或 圣火术Sacred Flame 。你施展该戏法的施法属性为智力、感知、或魅力。（选择此种族的时候决定）。 </t>
    <phoneticPr fontId="49" type="noConversion"/>
  </si>
  <si>
    <t>你拥有察觉的技能熟练项。</t>
    <phoneticPr fontId="49" type="noConversion"/>
  </si>
  <si>
    <t>你进行对抗魅惑的豁免时具有优势，并且不会因魔法效应而陷入睡眠。</t>
    <phoneticPr fontId="49" type="noConversion"/>
  </si>
  <si>
    <t>你具有长剑、短剑、短弓和长弓的武器熟练项。</t>
    <phoneticPr fontId="49" type="noConversion"/>
  </si>
  <si>
    <t>狂热威仪</t>
    <phoneticPr fontId="49" type="noConversion"/>
  </si>
  <si>
    <t>专心炽志</t>
    <phoneticPr fontId="49" type="noConversion"/>
  </si>
  <si>
    <t>徽记术</t>
    <phoneticPr fontId="49" type="noConversion"/>
  </si>
  <si>
    <t>造水术／枯水术</t>
    <phoneticPr fontId="49" type="noConversion"/>
  </si>
  <si>
    <t>目盲术／耳聋术</t>
    <phoneticPr fontId="49" type="noConversion"/>
  </si>
  <si>
    <t xml:space="preserve">• 你的触碰带着疾病。你对触及范围内一个生物发动一次近战法术攻击。若命中，则该目标中毒。
• 该中毒目标的每一回合结束时，必须进行一次体质豁免。若该目标累计三次该豁免成功，则其不再中毒且该法术终止。若该目标累计三次该豁免失败，其亦不再中毒，但必须从以下描述的疾病中选择其一。随后该目标将受选定的疾病影响直至该法术持续时间结束。
• 由于法术对目标引发的是自然疾病，因此任何移除疾病或改善疾病状况的效应都可以对受术生物产生影响。
失明症Blinding Sickness。 痛苦缠绕着患病者的意志，并使其眼睛变成奶白色。患病生物进行感知检定和感知豁免时具有劣势，并且承受目盲状态。
腐热症Filth Fever。 患者身体发起严重的高烧。患病生物进行力量检定和力量豁免时，以及发动基于力量的攻击检定时具有劣势。
烂肉症Flesh Rot。 患者的肌肤逐渐腐朽。患病生物进行魅力检定时具有劣势，并且具有所有伤害类型的伤害易受。
脑热症Mindfire。患者头脑发热。患病生物进行智力检定和智力豁免时具有劣势，并且其在战斗中视为受到困惑术 confusion效应影响。
癫痫症Seizure。患者全身颤抖不止。患病生物进行敏捷检定和敏捷豁免时，以及发动基于敏捷的攻击检定时具劣势。
恶心症Slimy Doom。 患者开始不受控地流血。患病生物进行体质检定和体质豁免时具有劣势。另外每当该生物受到伤害时都会陷入震慑状态，直至其下一回合结束。 </t>
  </si>
  <si>
    <t>出处：</t>
    <phoneticPr fontId="49" type="noConversion"/>
  </si>
  <si>
    <t>奥秘</t>
    <phoneticPr fontId="49" type="noConversion"/>
  </si>
  <si>
    <t>否</t>
  </si>
  <si>
    <t>背景</t>
    <phoneticPr fontId="49" type="noConversion"/>
  </si>
  <si>
    <t>性别</t>
    <phoneticPr fontId="49" type="noConversion"/>
  </si>
  <si>
    <t>身高</t>
    <phoneticPr fontId="49" type="noConversion"/>
  </si>
  <si>
    <t>体重</t>
    <phoneticPr fontId="49" type="noConversion"/>
  </si>
  <si>
    <t>修正</t>
    <phoneticPr fontId="49" type="noConversion"/>
  </si>
  <si>
    <t>年龄</t>
    <phoneticPr fontId="49" type="noConversion"/>
  </si>
  <si>
    <t>换位诈术</t>
    <phoneticPr fontId="49" type="noConversion"/>
  </si>
  <si>
    <t>伏击</t>
    <phoneticPr fontId="49" type="noConversion"/>
  </si>
  <si>
    <t>装甲外壳</t>
    <phoneticPr fontId="49" type="noConversion"/>
  </si>
  <si>
    <t xml:space="preserve">你的身体有着由薄金属或其他的耐用材料制成的外壳。若你未穿着护甲，你的基础护甲等级变为 13+你的敏捷调整值。 </t>
    <phoneticPr fontId="49" type="noConversion"/>
  </si>
  <si>
    <t xml:space="preserve">进行攻击检定，属性检定，或豁免检定时，你可以在检定中加入一颗 d4。你能在看到d20骰值后。但该次检定的效应还没处理前再决定是否使用这一特质。
你能使用此特质次数等同于 你的熟练加值 次，完成一次长休后，你重获所有已消耗的使用次数。 </t>
    <phoneticPr fontId="49" type="noConversion"/>
  </si>
  <si>
    <t>可被再生构造</t>
    <phoneticPr fontId="49" type="noConversion"/>
  </si>
  <si>
    <t xml:space="preserve">如果一次法术 修复术Mending 被施展到你身上，你可以花费并投掷一枚生命骰，你恢复 投掷结果+你的体质调整值 点生命值（至少1点生命值）。 
此外，你的创造者将你设计为能受益于一些保护生命但通常不影响构装生物的法术：疗伤术Cure Wound、治愈真言Healing Word、群体疗伤术Mass Cure Wound，群体治愈真言Mass Healing Word 和 维生术Spare the Dying。 </t>
    <phoneticPr fontId="49" type="noConversion"/>
  </si>
  <si>
    <t xml:space="preserve">你具有毒素伤害抗性，并免疫于疾病。你为防止陷入麻痹或中毒所做的豁免具有优势。你不需要吃、喝、呼吸。 </t>
    <phoneticPr fontId="49" type="noConversion"/>
  </si>
  <si>
    <t xml:space="preserve">当你进行长休时，你需要花费6小时处于一种静止的、非激活的状态，以代替睡眠。这种状态下，你会表现的十分迟缓，但不会失去意识。 </t>
    <phoneticPr fontId="49" type="noConversion"/>
  </si>
  <si>
    <t>在微光光照下，你身边60尺内可以视为等同于明亮光照。而在黑暗中，该范围内可视为等同于微光光照。你无法在黑暗中分辨颜色，只能看到有灰度的黑白画面。</t>
  </si>
  <si>
    <t>在微光光照下，你身边60尺内可以视为等同于明亮光照。而在黑暗中，该范围内可视为等同于微光光照。你无法在黑暗中分辨颜色，只能看到有灰度的黑白画面。</t>
    <phoneticPr fontId="49" type="noConversion"/>
  </si>
  <si>
    <t>你进行对抗毒素的豁免时具有优势，并且拥有毒素伤害的抗性。</t>
    <phoneticPr fontId="49" type="noConversion"/>
  </si>
  <si>
    <t>你具有战斧，手斧，轻锤和战锤的熟练项。</t>
    <phoneticPr fontId="49" type="noConversion"/>
  </si>
  <si>
    <t>你从以下工具中选择一项获得熟练项：铁匠工具、酿酒工具或石匠工具。</t>
    <phoneticPr fontId="49" type="noConversion"/>
  </si>
  <si>
    <t>每当你对一件石制品的起源做智力（历史）检定时，你视为具有历史技能的熟练项，并可以在检定中加上双倍的熟练加值，而非你平时的熟练加值。</t>
    <phoneticPr fontId="49" type="noConversion"/>
  </si>
  <si>
    <t>你的生命值最大值加1，且此后每次升级时再加1。</t>
    <phoneticPr fontId="49" type="noConversion"/>
  </si>
  <si>
    <t>你具有轻甲和中甲的护甲熟练项。</t>
    <phoneticPr fontId="49" type="noConversion"/>
  </si>
  <si>
    <t>你的黑暗视觉感官范围提升至120尺。</t>
  </si>
  <si>
    <t>你的黑暗视觉感官范围提升至120尺。</t>
    <phoneticPr fontId="49" type="noConversion"/>
  </si>
  <si>
    <t>你在为自己避免或结束魅惑和震慑状态的豁免检定时具有优势。</t>
    <phoneticPr fontId="49" type="noConversion"/>
  </si>
  <si>
    <t>从3级开始，你可以使用该特质对你自己施展变巨/缩小术 Enlarge/reduce ，且无需材料成分。
从5级开始，你同样可以使用该特质对你自己施展隐形术 Invisibility，且无需材料成分。
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phoneticPr fontId="49" type="noConversion"/>
  </si>
  <si>
    <t>当你进行智力（调查）检定或使用盗贼工具进行属性检定时，你能掷一个d4，并把结果加到属性检定的结果上。</t>
    <phoneticPr fontId="49" type="noConversion"/>
  </si>
  <si>
    <t>你能够通过此特性施展警报术Alarm和法师护甲Mage Armor法术，从3级起，你还能通过此特性施展秘法锁Arcane Lock。一旦你通过此特性施展了前述法术，在完成一次长休前，你无法通过此特性再次施展那个法术。对你而言，这些法术的施法属性是智力。通过此特性施展这些法术时，无需材料成分。</t>
    <phoneticPr fontId="49" type="noConversion"/>
  </si>
  <si>
    <t>在微光光照下，你身边120尺内可以视为等同于明亮光照。而在黑暗中，该范围内可视为等同于微光光照。你无法在黑暗中分辨颜色，只能看到有灰度的黑白画面。</t>
    <phoneticPr fontId="49" type="noConversion"/>
  </si>
  <si>
    <t>你习得一个戏法，从法师法术列表中选择之。其施法属性为智力。</t>
    <phoneticPr fontId="49" type="noConversion"/>
  </si>
  <si>
    <t>你能额外说、读、写一门额外的自选语言。</t>
    <phoneticPr fontId="49" type="noConversion"/>
  </si>
  <si>
    <t>你的基础步行速度提升至35尺。</t>
    <phoneticPr fontId="49" type="noConversion"/>
  </si>
  <si>
    <t>你的基础步行速度为25尺，你的速度不会因穿着重甲而减慢</t>
    <phoneticPr fontId="49" type="noConversion"/>
  </si>
  <si>
    <t>你的基础步行速度为30尺</t>
  </si>
  <si>
    <t>你的基础步行速度为30尺</t>
    <phoneticPr fontId="49" type="noConversion"/>
  </si>
  <si>
    <t>你的基础步行速度为25尺</t>
    <phoneticPr fontId="49" type="noConversion"/>
  </si>
  <si>
    <t>你的基础步行速度为40尺</t>
  </si>
  <si>
    <t>你的基础步行速度为35尺</t>
  </si>
  <si>
    <t>即便你只处于轻度遮蔽的状态，只要这一轻度遮蔽由树丛，大雨，落雪，雾气或其他自然现象提供，你也可以进行躲藏。</t>
    <phoneticPr fontId="49" type="noConversion"/>
  </si>
  <si>
    <t>你进行攻击检定和依赖视觉的感知（察觉）检定时，如果你本人、你的攻击目标或你尝试察觉的东西位于阳光直射下，则你所进行的相应检定具有劣势。</t>
    <phoneticPr fontId="49" type="noConversion"/>
  </si>
  <si>
    <t>你习得戏法舞光术dancing light。
达到3级后，你可以用此特质免费施展一次法术妖火faerie fire。完成一次长休后你重获以此免费施展这个法术的权利。
达到5级后，你可以用此特质免费施展一次法术黑暗术darkness。完成一次长休后你重获以此免费施展这个法术的权利。
这些法术的施法属性是魅力。</t>
    <phoneticPr fontId="49" type="noConversion"/>
  </si>
  <si>
    <t>你拥有刺剑、短剑和手弩的熟练项。</t>
    <phoneticPr fontId="49" type="noConversion"/>
  </si>
  <si>
    <t>你的族人与水生动物拥有非凡的亲和力。你可以向任何拥有游泳速度的野兽传达简单的想法。它们可以理解你的话的意思，虽然你没有特殊的能力来明白它们的回应。</t>
    <phoneticPr fontId="49" type="noConversion"/>
  </si>
  <si>
    <t>你具有黯蚀伤害的抗性。</t>
    <phoneticPr fontId="49" type="noConversion"/>
  </si>
  <si>
    <t>用一个附赠动作，你可以魔法地传送到一处30尺内且未被占据的可见空间。你可以使用该特质的次数等于你的熟练加值，当你完成一次长休后，你重新获得所有消耗的次数。
当你到达3级时，当你使用该特质进行传送，你获得所有伤害的抗性。该抗性直到你的下一个回合开始前。在此期间，你的身体呈现出如幽魂般的半透明。</t>
    <phoneticPr fontId="49" type="noConversion"/>
  </si>
  <si>
    <t>当你进行魅力（表演）或敏捷（隐匿）检定时，你能掷一个d4，并把结果加到属性检定的结果上。</t>
    <phoneticPr fontId="49" type="noConversion"/>
  </si>
  <si>
    <t>你能够施展次级幻影Minor Illusion戏法。从第3级起，你能够通过此特性施展隐形术Invisibility。一旦你通过此特性施展了这个法术，在完成一次长休前，你无法通过此特性再次施展该法术。对你而言，这些法术的施法属性是魅力。</t>
    <phoneticPr fontId="49" type="noConversion"/>
  </si>
  <si>
    <t>你在智力（调查）和感知（洞悉）检定上具有优势。</t>
    <phoneticPr fontId="49" type="noConversion"/>
  </si>
  <si>
    <t>你习得戏法光亮术。第3级起，你能通过本特质释放一次睡眠术，当你完成一次长休后可重获释放次数。第5级起，你能释放一次隐形术（只能对自身释放），当你完成一次长休后可重获释放次数。通过本特质释放的这些法术不需要材料成分。感知是你释放这些法术的施法属性.</t>
    <phoneticPr fontId="49" type="noConversion"/>
  </si>
  <si>
    <t>当攻击检定、属性检定以及豁免检定掷出1时，你可以再重掷一次，但必须使用重掷的结果。</t>
    <phoneticPr fontId="49" type="noConversion"/>
  </si>
  <si>
    <t>你进行对抗恐慌的豁免时具有优势。</t>
    <phoneticPr fontId="49" type="noConversion"/>
  </si>
  <si>
    <t>你可以穿越任何体形比你大的生物所在空间。</t>
    <phoneticPr fontId="49" type="noConversion"/>
  </si>
  <si>
    <t xml:space="preserve">即便你只受体型比你更大的生物遮蔽，你也可以进行躲藏。 </t>
    <phoneticPr fontId="49" type="noConversion"/>
  </si>
  <si>
    <t>敦实体魄</t>
    <phoneticPr fontId="49" type="noConversion"/>
  </si>
  <si>
    <t>你进行对抗毒素的豁免时具有优势，你拥有毒素伤害的伤害抗性。</t>
    <phoneticPr fontId="49" type="noConversion"/>
  </si>
  <si>
    <t>你可以向你30尺内的任何生物如同心灵感应般进行沟通。生物必须与你共同知晓一种语言才能理解你的发言。你通过这个方式每次只能和一名生物进行心灵沟通。</t>
    <phoneticPr fontId="49" type="noConversion"/>
  </si>
  <si>
    <t>当你进行感知（医疗）检定时，你能掷一个d4，并把结果加到属性检定的结果上。</t>
    <phoneticPr fontId="49" type="noConversion"/>
  </si>
  <si>
    <t>你能够通过此特性施展疗伤术Cure Wounds，从第3级起，你还能施展次级复原术Lesser Restoration。一旦你使用此特性施展了前述法术，你将无法再次使用此特性，直到完成一次长休。感知是你在施展这些法术时的关键属性。</t>
    <phoneticPr fontId="49" type="noConversion"/>
  </si>
  <si>
    <t>当你进行魅力（说服）检定或者使用酿酒工具或厨师工具进行属性检定时，你能掷一个d4，并把结果加到属性检定的结果上。</t>
    <phoneticPr fontId="49" type="noConversion"/>
  </si>
  <si>
    <t>你习得戏法魔法伎俩Prestidigitation。同时，你能够通过此特性施展净化食粮Purify Food and Drink和隐形仆役Unseen Servant。一旦你通过此特性施展了前述法术，在完成一次长休前，你无法通过此特性再次施展那个法术。对你而言，这些法术的施法属性是魅力。</t>
    <phoneticPr fontId="49" type="noConversion"/>
  </si>
  <si>
    <t>你习得戏法德鲁伊伎俩。当你抵达3级时，你能通过本特质释放一次纠缠术，当你完成一次长休后可重获释放次数。当你抵达5级时，你能释放一次荆棘丛生，当你完成一次长休后可重获释放次数。通过本特质释放的这些法术不需要材料成分。感知是你释放这些法术的施法属性。</t>
    <phoneticPr fontId="49" type="noConversion"/>
  </si>
  <si>
    <t>对你进行追踪的属性检定具有劣势，并且你在通过由非魔法的植物和灌木丛形成的困难地形时，不需要花费额外移动力。</t>
    <phoneticPr fontId="49" type="noConversion"/>
  </si>
  <si>
    <t>你获得一项自选的技能作为熟练项。</t>
    <phoneticPr fontId="49" type="noConversion"/>
  </si>
  <si>
    <t>你获得一项自选的专长。</t>
    <phoneticPr fontId="49" type="noConversion"/>
  </si>
  <si>
    <t>龙纹让你的感官变得敏锐，并能帮助你找到猎物。当你进行感知（察觉）或感知（生存）检定时，你能掷一个d4，并把结果加到属性检定的结果上。</t>
    <phoneticPr fontId="49" type="noConversion"/>
  </si>
  <si>
    <t>你能通过此特性施展猎人印记Hunter's Mark法术。从第3级起，你还能通过此特性施展物件定位术Locate Object。一旦你通过此特性施展了前述法术，在完成一次长休前，你无法通过此特性再次施展那个法术。对你而言，这些法术的施法属性是感知。</t>
    <phoneticPr fontId="49" type="noConversion"/>
  </si>
  <si>
    <t>当你进行感知（驯兽）或智力（自然）检定时，你能掷一个d4，并把结果加到属性检定的结果上。</t>
    <phoneticPr fontId="49" type="noConversion"/>
  </si>
  <si>
    <t>你能够对30英尺（取代通常的5英尺）内的友方动物伙伴或坐骑使用协助动作。</t>
    <phoneticPr fontId="49" type="noConversion"/>
  </si>
  <si>
    <t>你能够通过此特性施展化兽为友Animal Friendship和动物交谈Speak with Animals，且无需材料成分。一旦你通过此特性施展了前述法术，在完成一次长休前，你无法通过此特性再次施展那个法术。对你而言，这些法术的施法属性是感知。</t>
    <phoneticPr fontId="49" type="noConversion"/>
  </si>
  <si>
    <t>你施展化兽为友Animal Friendship或动物交谈Speak with Animals时可以指定野兽或怪兽为目标，前提是目标智力为3或以下。</t>
    <phoneticPr fontId="49" type="noConversion"/>
  </si>
  <si>
    <t>当你用工匠工具进行属性检定时，你能掷一个d4，并把结果加到属性检定的结果上。</t>
    <phoneticPr fontId="49" type="noConversion"/>
  </si>
  <si>
    <t>你选择一种工匠工具，获得其熟练。</t>
    <phoneticPr fontId="49" type="noConversion"/>
  </si>
  <si>
    <t>你习得戏法修复术Mending。同时，你能够通过此特性施展魔化武器Magic Weapon，当你这么做时，该法术持续1小时，无需专注。一旦你通过此特性施展了前述法术，在完成一次长休前，你无法通过此特性再次施展那个法术。对你而言，这些法术的施法属性是智力。</t>
    <phoneticPr fontId="49" type="noConversion"/>
  </si>
  <si>
    <t>你的基础步行速度为35尺。</t>
    <phoneticPr fontId="49" type="noConversion"/>
  </si>
  <si>
    <t>当你进行力量（运动）检定或者为了操作或维护陆运载具而进行属性检定时，你能掷一个d4，并把结果加到属性检定的结果上。</t>
    <phoneticPr fontId="49" type="noConversion"/>
  </si>
  <si>
    <t>你能够通过此特性施展迷踪步Misty Step。一旦你通过此特性施展了前述法术，在完成一次长休前，你无法通过此特性再次施展此法术。对你而言，该法术的施法属性是敏捷。</t>
    <phoneticPr fontId="49" type="noConversion"/>
  </si>
  <si>
    <t>当你进行感知（洞悉）或感知（察觉）检定时，你能掷一个d4，并把结果加到属性检定的结果上。</t>
    <phoneticPr fontId="49" type="noConversion"/>
  </si>
  <si>
    <t>你能够通过此特性施展护盾术Shield，在完成一次长休后，你能通过此特性再次施展该法术。你施展该法术的关键属性是感知。</t>
    <phoneticPr fontId="49" type="noConversion"/>
  </si>
  <si>
    <t>当距离你5尺内的可见生物被攻击命中时，你能以一个反应与该生物交换位置，同时你代替该生物被击中。这么做后，你将无法再次使用此特性，直到完成一次长休。</t>
    <phoneticPr fontId="49" type="noConversion"/>
  </si>
  <si>
    <t>你可以用你喜欢的方式，利用对创造性外交或恐吓的理解，来引导一场交谈。 当你进行一次魅力（威吓或说服）检定时，你可以获得优势。 一旦使用了本特质，直到完成一次短休或长休后你才能再次使用。</t>
    <phoneticPr fontId="49" type="noConversion"/>
  </si>
  <si>
    <t>在微光光照下，你身边60尺内可以视为等同于明亮光照。而在黑暗中，该范围内可视为等同于微光光照。你无法在黑暗中分辨颜色，只能看到有灰度的黑白画面。</t>
    <phoneticPr fontId="49" type="noConversion"/>
  </si>
  <si>
    <t xml:space="preserve">当一个生物对你造成伤害时，如果它在你所持用的武器的射程之内，你能用你的反应使用该武器对那个生物进行一次攻击。一旦使用了本特质，直到完成一次短休或长休后你才能再次使用。 </t>
    <phoneticPr fontId="49" type="noConversion"/>
  </si>
  <si>
    <t>你拥有巨龙的血统。在表格“龙族血统”中选择一个龙种，并基于所选龙种，决定你吐息的形式和具有的伤害抗性。
龙种    伤害类型 
色彩龙血脉
黑        强酸
蓝        闪电
绿        毒素
红        火焰
白        冷冻
金属龙血脉
黄铜           火焰
青铜           闪电
赤铜          强酸
金               火焰
银               冷冻
宝石龙血脉
紫水晶       力场
水晶           光耀
翡翠           心灵
蓝宝石       雷鸣
黄玉           黯蚀</t>
    <phoneticPr fontId="49" type="noConversion"/>
  </si>
  <si>
    <t>你可以使用动作呼出破坏性的能量。你的龙族血统决定了吐息的范围、形状以及其伤害类型。
使用吐息时，你吐息范围内的每个生物都必须进行一次豁免，其豁免类型取决于你的龙族血统。该豁免的DC等于8＋你的体质调整值＋你的熟练加值。豁免失败者将受到2d6点伤害。豁免成功则伤害减半。其伤害值在6级时增加到3d6，11级增加到4d6，16级增加到5d6。
  使用吐息后，你必须完成一次长休或短休后才能再次使用。
黑龙血统：你的吐息的范围为30尺长5尺宽、形状为线状，伤害类型为强酸，豁免类型为敏捷。
蓝龙血统：你的吐息的范围为30尺长5尺宽、形状为线状，伤害类型为闪电，豁免类型为敏捷。
黄铜龙血统：你的吐息的范围为30尺长5尺宽、形状为线状，伤害类型为火焰，豁免类型为敏捷。
青铜龙血统：你的吐息的范围为30尺长5尺宽、形状为线状，伤害类型为闪电，豁免类型为敏捷。
赤铜龙血统：你的吐息的范围为30尺长5尺宽、形状为线状，伤害类型为强酸，豁免类型为敏捷。
金龙血统：你的吐息的范围为15尺、形状为锥状，伤害类型为火焰，豁免类型为敏捷。
绿龙血统：你的吐息的范围为15尺、形状为锥状，伤害类型为毒素，豁免类型为体质。
红龙血统：你的吐息的范围为15尺、形状为锥状，伤害类型为火焰，豁免类型为敏捷。
银龙血统：你的吐息的范围为15尺、形状为锥状，伤害类型为冷冻，豁免类型为体质。
白龙血统：你的吐息的范围为15尺、形状为锥状，伤害类型为冷冻，豁免类型为体质。</t>
    <phoneticPr fontId="49" type="noConversion"/>
  </si>
  <si>
    <t>当你使用攻击动作时，你可以将其中一次攻击替换为呼出一种30尺长，5尺宽的魔法能量。矩形范围内的每个生物都必须成功通过一次DC为（8+你的体质调整值+你的熟练加值）的敏捷豁免，否则将受到1d10的对应色彩龙血脉的伤害，成功则伤害减半。该伤害在你达到5级时增至2d10，11级时增至3d10，17级时增至4d10。
你可以使用该特性的次数等同于你的熟练加值，你在完成 一次长休后重获所有已使用的次数。</t>
    <phoneticPr fontId="49" type="noConversion"/>
  </si>
  <si>
    <t>5级起，你可以用一个动作引导出你的龙族能量来保护自身。1分钟内，你免疫你所选的色彩龙血脉对应的伤害类型。在你使用此特性后，你在完成一次长休之前不能再次使用。</t>
    <phoneticPr fontId="49" type="noConversion"/>
  </si>
  <si>
    <t>当你使用攻击动作时，你可以将其中一次攻击替换为呼出一种15尺锥形的魔法能量。锥形范围内的每个生物都必须成功通过一次DC为（8+你的体质调整值+你的熟练加值）的敏捷豁免，否则将受到1d10的对应金属龙血脉的伤害，成功则伤害减半。该伤害在你达到5级时增至2d10，11级时增至3d10，17级时增至4d10。
你可以使用该特性的次数等同于你的熟练加值，你在完成 一次长休后重获所有已使用的次数。</t>
    <phoneticPr fontId="49" type="noConversion"/>
  </si>
  <si>
    <t>当你使用攻击动作时，你可以将其中一次攻击替换为呼出一种15尺锥形的魔法能量。锥形范围内的每个生物都必须成功通过一次DC为（8+你的体质调整值+你的熟练加值）的敏捷豁免，否则将受到1d10的对应宝石龙血脉的伤害，成功则伤害减半。该伤害在你达到5级时增至2d10，11级时增至3d10，17级时增至4d10。
你可以使用该特性的次数等同于你的熟练加值，你在完成 一次长休后重获所有已使用的次数。</t>
    <phoneticPr fontId="49" type="noConversion"/>
  </si>
  <si>
    <t>龙族抗性</t>
    <phoneticPr fontId="49" type="noConversion"/>
  </si>
  <si>
    <t>你获得你所选的龙族血脉对应的伤害类型的抗性。</t>
    <phoneticPr fontId="49" type="noConversion"/>
  </si>
  <si>
    <t>你可以与身边 30 尺内任意你能看见的生物通过心灵感应方式进行交流。你无须懂得该生物的语言也能使其理解你通过心灵感应所传达的话语，但它必须至少会一种语言来理解你传达的信息。</t>
    <phoneticPr fontId="49" type="noConversion"/>
  </si>
  <si>
    <t>5级起，你可以用附赠动作在身上显形一对幽光翅膀，持续1分钟。你在持续时间内获得等同你步行速度的飞行速度，并且可以悬浮。使用此特性后，你在完成一次长休前不能再次使用。</t>
    <phoneticPr fontId="49" type="noConversion"/>
  </si>
  <si>
    <t>5级起，你获得第二种吐息武器。当你使用攻击动作时，你可以将其中一次攻击替换为呼出一种15尺锥形的魔法气体。其豁免DC为8+你的体质调整值+你的熟练加值。在你使用此特性时，选择以下一项：
• 衰弱吐息。范围内的每个生物必须成功通过一次体质豁免，否则将陷入失能，直至你的下个回合开始。
• 排斥吐息。范围内的每个生物必须成功通过一次力量豁免，否则将被推离20尺并应击倒地。在你使用你的金属龙吐息武器后，你不能再次使用它，直至你完成一次长休。</t>
    <phoneticPr fontId="49" type="noConversion"/>
  </si>
  <si>
    <t>你进行对抗魔法的智力、感知和魅力的豁免时具有优势。</t>
    <phoneticPr fontId="49" type="noConversion"/>
  </si>
  <si>
    <t>你习得戏法次级幻影minor illusion。其施法关健属性为智力。</t>
    <phoneticPr fontId="49" type="noConversion"/>
  </si>
  <si>
    <t>你可以通过声音和手势与小型或更小的野兽进行简单沟通。森林侏儒喜爱动物，且经常喂养松鼠、獾、兔子、鼹鼠、啄木鸟等动物作为自己心爱的宠物。</t>
    <phoneticPr fontId="49" type="noConversion"/>
  </si>
  <si>
    <t>当你进行关于魔法物品、炼金物品或是工艺元件的智力（历史）检定时，你可以在检定中加上双倍的熟练加值，而非你平时的熟练加值。</t>
    <phoneticPr fontId="49" type="noConversion"/>
  </si>
  <si>
    <t>你拥有工匠工具（修补工具）的熟练项。使用这些工具时，你可以花费1小时时间和10gp材料制作一个微型的发条机械装置（AC5，HP1）。该装置在24小时后将自动停止运作（除非你再花费1小时来修理它让它保持运作），你也可以使用你的动作主动使其停止运作。它停止运作后，你将收回用来制造它的材料。你最多可以同时激活三个这样的装置。
  制作装置时，你选择下列选项之一：
发条玩具Clockwork Toy。该玩具是个机械的动物、怪物或人，例如青蛙、老鼠、鸟、龙或者士兵。当被放在地上时，该玩具能在你的回合里随机向一个方向移动5尺。此外该玩具还会模范所模拟生物发出声响。
打火机Fire Starter。该装置可以产生微小的火焰。你可以用它来点蜡烛，火把或营火。使用该装置需要花费动作。
音乐盒Music Box。音乐盒打开时，将以适中的音量奏响固定的一首的歌曲。音乐播放完毕，或音乐盒被关闭时，音乐盒将停止发声。</t>
    <phoneticPr fontId="49" type="noConversion"/>
  </si>
  <si>
    <t>当你进行敏捷（隐匿）检定时，你可以使该次检定具有优势。你可以使用此特质的次数等于你的熟练加值，当你完成一次长休后，你重新获得所有消耗的次数。</t>
    <phoneticPr fontId="49" type="noConversion"/>
  </si>
  <si>
    <t>从3级开始，你可以使用该特质施展易容术 Disguise Self 。
从5级开始，你同样可以使用该特质施展回避侦测 Nondetection，且无需材料成分。
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phoneticPr fontId="49" type="noConversion"/>
  </si>
  <si>
    <t>你当你进行智力（历史）检定或使用书法工具进行属性检定时，你能掷一个d4，并把结果加到属性检定的结果上。</t>
    <phoneticPr fontId="49" type="noConversion"/>
  </si>
  <si>
    <t>你习得戏法传讯术Message。同时，你能够通过此特性施展通晓语言Comprehend Languages，在完成一次短休或长休后，你能通过此特性再次施展此法术。从第3级起，你还能通过此特性施展魔嘴术Magic Mouth，在完成一次长休后，你能通过此特性再次施展此法术。对你而言，这些法术的施法属性是智力。</t>
    <phoneticPr fontId="49" type="noConversion"/>
  </si>
  <si>
    <t>你进行对抗魅惑的豁免时具有优势，并且不会因魔法效应而陷入睡眠。</t>
    <phoneticPr fontId="49" type="noConversion"/>
  </si>
  <si>
    <t>你获得两项自选技能的熟练项。</t>
    <phoneticPr fontId="49" type="noConversion"/>
  </si>
  <si>
    <t>你习得一个戏法，从法师法术列表中选择之。其施法属性为智力。</t>
    <phoneticPr fontId="49" type="noConversion"/>
  </si>
  <si>
    <t>你具有长剑、短剑、短弓和长弓的武器熟练项。</t>
    <phoneticPr fontId="49" type="noConversion"/>
  </si>
  <si>
    <t>当你进行智力（调查）或感知（洞悉）检定时，你能够掷一个d4，将结果加到你的属性检定结果中。</t>
    <phoneticPr fontId="49" type="noConversion"/>
  </si>
  <si>
    <t xml:space="preserve">你能够以此特性施展侦测魔法Detect Magic和侦测毒性和疾病Detect Poison and Disease法术，从3级起，你还能通过这一特性施展识破隐形See Invisibility。一旦你通过此特性施展了前述法术，在完成一次长休前，你无法通过此特性再次施展那个法术。对你而言，这些法术的施法属性是感知，且你无需为这些法术提供材料成分。 </t>
    <phoneticPr fontId="49" type="noConversion"/>
  </si>
  <si>
    <t>当你进行敏捷（特技）检定或任何使用领航工具的属性检定时，你能掷一个d4，并把结果加到属性检定的结果上。</t>
    <phoneticPr fontId="49" type="noConversion"/>
  </si>
  <si>
    <t>你对闪电伤害有抗性。</t>
    <phoneticPr fontId="49" type="noConversion"/>
  </si>
  <si>
    <t xml:space="preserve">你习得戏法舞风术Gust。从第3级起，你能够通过此特性每日一次施展造风术Gust of Wind，在完成一次长休后，你可以通过此特性再次施展此法术。对你而言，这些法术的施法属性是魅力。 </t>
    <phoneticPr fontId="49" type="noConversion"/>
  </si>
  <si>
    <t>你获得威吓技能的熟练项。</t>
    <phoneticPr fontId="49" type="noConversion"/>
  </si>
  <si>
    <t>当你生命值降至0而没有立即死亡时，可以改为使生命值降至1。此特质生效后必须完成一次长休后才能再次生效。</t>
    <phoneticPr fontId="49" type="noConversion"/>
  </si>
  <si>
    <t>使用近战武器攻击造成重击时，你可以额外掷一个该武器的伤害骰，并将其数值加入到重击的额外伤害中。</t>
    <phoneticPr fontId="49" type="noConversion"/>
  </si>
  <si>
    <t>如果你拥有施法或契约魔法职业能力，将以下龙纹法术加入施法职业法术列表中：
1环：妖火，大步奔行
2环：动植物定位术，物件定位术
3环：鹰眼术，植物交谈
4环：预言术，生物定位术
5环：问道自然</t>
    <phoneticPr fontId="49" type="noConversion"/>
  </si>
  <si>
    <t>你对火焰伤害具有抗性.</t>
    <phoneticPr fontId="49" type="noConversion"/>
  </si>
  <si>
    <t>你习得戏法奇术thaumaturgy。
达到3级后，你可以用此特质免费施展一次2环版本的炼狱叱喝hellish rebuke。完成一次长休后你重获以此免费施展这个法术的权利。
达到5级后，你也可以用此特质免费施展一次黑暗术darkness。完成一次长休后你重获以此免费施展这个法术的权利。
这些法术的施法属性均为魅力。</t>
    <phoneticPr fontId="49" type="noConversion"/>
  </si>
  <si>
    <t>你习得戏法 恶言相加Vicious Mockery 。
达到3级后，你可以用此特质免费施展一次2环版本的 魅惑人类Charm Person 。
达到5级后，你可以用此特质免费施展一次 注目术enthrall 。
你必须完成一次长休之后才能再次用此特质施展这些法术。这些法术的施法属性为魅力。</t>
    <phoneticPr fontId="49" type="noConversion"/>
  </si>
  <si>
    <t>你习得戏法奇术thaumaturgy。
达到3级后，你可以用此特质免费施展一次2环版本的燃烧之手Burning Hands 。完成一次长休后你重获以此免费施展这个法术的权利。
达到5级后，你也可以用此特质免费施展一次黑暗术darkness。完成一次长休后你重获以此免费施展这个法术的权利。
这些法术的施法属性均为魅力。</t>
    <phoneticPr fontId="49" type="noConversion"/>
  </si>
  <si>
    <t>在你的肩胛骨下方有一双蝙蝠般的翅膀。未穿着重甲的情况下，你具有30尺飞行速度。</t>
    <phoneticPr fontId="49" type="noConversion"/>
  </si>
  <si>
    <t>你获得施展戏法奇术thaumaturgy的能力。
第3级时，你可以每日施展一次2环的致病射线ray of sickness。
第5级，你可以每日施展一次疯狂冠冕crown of madness。花费掉的法术次数将在一次长休后恢复。与该特质相关的施法属性为魅力。</t>
    <phoneticPr fontId="49" type="noConversion"/>
  </si>
  <si>
    <t>你获得施展戏法奇术thaumaturgy的能力。
第3级时，你可以每日施展一次易容术disguise self。
第5级，你可以每日施展一次侦测思想detect thoughts。花费掉的法术次数将在一次长休后恢复。与该特质相关的施法属性为魅力。</t>
    <phoneticPr fontId="49" type="noConversion"/>
  </si>
  <si>
    <t>你获得施展戏法交友术friends的能力。
第3级时，你可以每日施展一次2环的魅惑人类charm person。
第5级，你可以每日施展一次暗示术suggestion。花费掉的法术次数将在一次长休后恢复。与该特质相关的施法属性为魅力。</t>
    <phoneticPr fontId="49" type="noConversion"/>
  </si>
  <si>
    <t>你获得施展戏法次级幻影minor illusion的能力。
第3级时，你可以每日施展一次易容术disguise self。
第5级，你可以每日施展一次隐形术invisibility。花费掉的法术次数将在一次长休后恢复。与该特质相关的施法属性为魅力。</t>
    <phoneticPr fontId="49" type="noConversion"/>
  </si>
  <si>
    <t>你获得施展戏法冷冻射线ray of frost的能力。
第3级时，你可以每日施展一次2环的艾嘉西斯之铠armor of Agathys。
第5级，你可以每日施展一次黑暗术darkness。花费掉的法术次数将在一次长休后恢复。与该特质相关的施法属性为魅力。</t>
    <phoneticPr fontId="49" type="noConversion"/>
  </si>
  <si>
    <t>你获得施展戏法法师之手mage hand的能力。
第3级时，你可以施展一次谭森浮碟术Tenser’s floating disk，你在一次短休或长休后可以重新施展此法术。
第5级，你可以施展一次秘法锁arcane lock而不需要材料成分，你在一次长休后可以重新施展此法术。与该特质相关的施法属性为魅力。</t>
    <phoneticPr fontId="49" type="noConversion"/>
  </si>
  <si>
    <t>你获得施展戏法法师之手mage hand的能力。
第3级时，你可以每日施展一次2环的燃烧之手burning hands。
第5级，你可以每日施展一次火焰刀flame blade。花费掉的法术次数将在一次长休后恢复。与该特质相关的施法属性为魅力。</t>
    <phoneticPr fontId="49" type="noConversion"/>
  </si>
  <si>
    <t>你获得施展戏法奇术thaumaturgy的能力。
第3级时，你可以每日施展一次2环的炽焰斩searing smite。
第5级，你可以每日施展一次印记斩branding smite。花费掉的法术次数将在一次长休后恢复。与该特质相关的施法属性为魅力。</t>
    <phoneticPr fontId="49" type="noConversion"/>
  </si>
  <si>
    <t>你具有黯蚀和光耀伤害的抗性。</t>
    <phoneticPr fontId="49" type="noConversion"/>
  </si>
  <si>
    <t>以一个动作，你可以触碰一个生物并投掷等同于你熟练加值的d4。该生物恢复等同于掷骰结果的生命值。一旦你使用了该特质，直到你完成一次长休之前你不能再次使用。</t>
    <phoneticPr fontId="49" type="noConversion"/>
  </si>
  <si>
    <t>你知晓戏法光亮术 Light。在施展它时，魅力是你的关键施法属性。</t>
    <phoneticPr fontId="49" type="noConversion"/>
  </si>
  <si>
    <t>天启</t>
    <phoneticPr fontId="49" type="noConversion"/>
  </si>
  <si>
    <t>当你到达3级时，请选择以下的一个启示选项。此后，你可以使用一个附赠动作来释放你内在的天界能量，获得该启示的益处。你的转变持续1分钟或直到你以一个附赠动作停止。一旦你使用以下的启示进行变身，直到你完成一次长休之前你不能再次使用：</t>
    <phoneticPr fontId="49" type="noConversion"/>
  </si>
  <si>
    <t>你的双目短暂地变成黑暗之池，而幽灵般无法飞行的双翼暂时地从你的背上涌出。除你盟友外，任何在你10尺内可以看你的生物都必须通过一次的魅力豁免（DC为8+你的熟练加值+你的魅力调整值），否则将会陷入恐慌直到你的下一个回合结束。在变身结束前，在每个你的回合中一次，当你的一次攻击或法术造成伤害时，你可以对一个目标造成额外的黯蚀伤害。该额外伤害等同于你的熟练加值。</t>
    <phoneticPr fontId="49" type="noConversion"/>
  </si>
  <si>
    <t>灼热的光芒会暂时地从你的双眼和口中涌动而出。在此期间，你发出10尺半径的明亮光照和额外10尺的微光光照，在每次你的回合结束时，你与你10尺范围内的每个生物都会受到等同于你熟练加值的光耀伤害。直到变身结束，在每个你的回合中一次，当你的一次攻击或法术造成伤害时，你可以对一个目标造成额外的光耀伤害。该额外伤害等同于你的熟练加值。</t>
    <phoneticPr fontId="49" type="noConversion"/>
  </si>
  <si>
    <t>两条辉煌的，光谱般的翅膀从你的背后涌出。在变身结束之前，你获得等同于你步行速度的飞行速度，且每个你的回合中一次，当你的一次攻击或法术造成伤害时，你可以对一个目标造成额外的光耀伤害。该额外伤害等同于你的熟练加值。</t>
    <phoneticPr fontId="49" type="noConversion"/>
  </si>
  <si>
    <t>你能用本特质施展侦测魔法 Detect Magic 和易容术 Disguise Self。当你施展这个版本的易容术 Disguise Self时，你可以看起来变矮或变高3尺。一旦你使用了该特质施展了这些法术中的任何一个，直到完成一次长休前，你不能再次使用该特质施展那个法术。你也能用你拥有的相应法术环阶的法术位来施展这些法术。
当你使用此特性施展这些法术时，智力，感知或魅力是你的施法属性（当你选择该种族时进行决定）。</t>
    <phoneticPr fontId="49" type="noConversion"/>
  </si>
  <si>
    <t>以一个附赠动作，你能如魔法般变为隐形，直到你的下一回合开始，或者直到你攻击，进行一次伤害掷骰，或者强迫某人进行一次豁免检定。你可以使用该特质的次数等于你的熟练加值，当你完成一次长休后，你重新获得所有消耗的次数。</t>
    <phoneticPr fontId="49" type="noConversion"/>
  </si>
  <si>
    <t>身强力壮</t>
    <phoneticPr fontId="49" type="noConversion"/>
  </si>
  <si>
    <t>在决定你的载重、和你可以推、拉及抬的重量时，你视作为体型大一级的生物。</t>
    <phoneticPr fontId="49" type="noConversion"/>
  </si>
  <si>
    <t>你有能力以有限的方式与野兽，植物与植被交流。它们可以理解你的话的意思，虽然你没有特殊的能力来明白它们的回应。你在所有试图影响它们的魅力检定具有优势。</t>
    <phoneticPr fontId="49" type="noConversion"/>
  </si>
  <si>
    <t>你在为自己避免或结束魅惑状态的豁免检定时具有优势。</t>
    <phoneticPr fontId="49" type="noConversion"/>
  </si>
  <si>
    <t>当你使用攻击或法术对一个生物造成伤害时，如果该生物的体型大于你，你可以使该攻击或法术对这个生物造成额外的伤害。该额外伤害等于你的熟练加值。
你可以使用此特质的次数等于你的熟练加值，当你完成一次长休后，你重新获得所有消耗的次数。并且你一回合不能使用该特质超过一次。</t>
    <phoneticPr fontId="49" type="noConversion"/>
  </si>
  <si>
    <t>你在每个自己的回合，可以以一个附赠动作来执行撤离Disengage 或躲藏Hide 动作。</t>
    <phoneticPr fontId="49" type="noConversion"/>
  </si>
  <si>
    <t>熊地精</t>
    <phoneticPr fontId="49" type="noConversion"/>
  </si>
  <si>
    <t>大地精</t>
    <phoneticPr fontId="49" type="noConversion"/>
  </si>
  <si>
    <t>当你在你的回合使用近战攻击时，你的触及范围比通常范围多5尺。</t>
    <phoneticPr fontId="49" type="noConversion"/>
  </si>
  <si>
    <t>你获得隐匿技能的熟练项。此外，不需要挤身，你可以在小型生物刚好占据的空间中通过和停留。</t>
    <phoneticPr fontId="49" type="noConversion"/>
  </si>
  <si>
    <t>如果你的攻击检定命中了一个战斗开始后还没开始过自己回合的生物，该生物受到额外2d6的伤害。</t>
    <phoneticPr fontId="49" type="noConversion"/>
  </si>
  <si>
    <t>你可以使用该特质以一个附赠动作进行协助动作，而你可以使用此特质的次数等于你的熟练加值。当你完成一次长休后，你重新获得所有消耗的次数。
从3级开始，每当你使用该特质进行协助动作时，从下列选项中选择一项：
好客 Hospitality。你与受你协助的生物都获得等于1d6加你的熟练加值的临时生命值。
通行 Passage。你与受你协助的生物的步行速度都增加10尺，直到你下一个的回合开始。
恶意 Spite。直到你下一个的回合开始，当受你协助的生物首次使用攻击检定命中目标，该目标在下一分钟内的下一次攻击检定具有劣势。</t>
    <phoneticPr fontId="49" type="noConversion"/>
  </si>
  <si>
    <t>如果你在一次攻击检定没有命中，或是在一次属性检定或豁免检定中失败，你可以利用互相帮助的纽带获得骰值的加值，该加值等于30尺内所有你可见的盟友的数量（最多+3加值）。你可以使用此特质的次数等于你的熟练加值，当你完成一次长休后，你重新获得所有消耗的次数。</t>
    <phoneticPr fontId="49" type="noConversion"/>
  </si>
  <si>
    <t>因为你的双翼，你拥有等同于你步行速度的飞行速度。如果你穿戴中甲和重甲，则你不能使用此飞行速度。</t>
    <phoneticPr fontId="49" type="noConversion"/>
  </si>
  <si>
    <t>你可以使用你的禽爪进行徒手打击。当你使用它们命中，这次打击会造成1d6+你力量调整值的挥砍伤害，代替徒手打击原本的钝击伤害。</t>
    <phoneticPr fontId="49" type="noConversion"/>
  </si>
  <si>
    <t>从3级开始，你可以施展造风术 Gust of Wind ，且无需材料成分。一旦你使用了该特质施展法术，直到完成一次长休前你不能再次使用。你也可以使用你拥有的2环或更高的法术位施展该法术。
当你使用该特质施展造风术时，智力，感知或魅力是你的施法属性（当你选择该种族时进行决定）。</t>
    <phoneticPr fontId="49" type="noConversion"/>
  </si>
  <si>
    <t>只要你未陷入失能，就可以一直保持闭气。</t>
    <phoneticPr fontId="49" type="noConversion"/>
  </si>
  <si>
    <t>你具有闪电伤害的抗性。</t>
    <phoneticPr fontId="49" type="noConversion"/>
  </si>
  <si>
    <t>如果你使用你的步行速度在土地与地板上移动， 你在穿越困难地形时可以不消耗额外的移动力。</t>
    <phoneticPr fontId="49" type="noConversion"/>
  </si>
  <si>
    <t>你知晓戏法剑刃防护 Blade Ward。你可以像通常一样地施展它，你也同样可以使用一个附赠动作施展该戏法，你可以以此施展等于你熟练加值的次数。当你完成一次长休后，你重新获得所有消耗的次数。
从5级开始，你可以使用该特质施展行动无踪 Pass without Trace，且无需材料成分。一旦你使用了该特质施展了该法术，直到完成一次长休前，你不能再次使用该特质施展该法术。你也能用你拥有的二环或更高环阶的法术位来施展这些法术。
当你使用该特质施展这些法术时，智力，感知或魅力是你的施法属性（当你选择该种族时进行决定）。</t>
    <phoneticPr fontId="49" type="noConversion"/>
  </si>
  <si>
    <t>你具有火焰伤害的抗性。</t>
    <phoneticPr fontId="49" type="noConversion"/>
  </si>
  <si>
    <t>你具有强酸伤害的抗性。</t>
    <phoneticPr fontId="49" type="noConversion"/>
  </si>
  <si>
    <t>你可以在空气和水中呼吸。</t>
    <phoneticPr fontId="49" type="noConversion"/>
  </si>
  <si>
    <t>你拥有等同于你步行速度的游泳速度。</t>
    <phoneticPr fontId="49" type="noConversion"/>
  </si>
  <si>
    <t>心灵抗性</t>
    <phoneticPr fontId="49" type="noConversion"/>
  </si>
  <si>
    <t>你具有心灵伤害的抗性。</t>
    <phoneticPr fontId="49" type="noConversion"/>
  </si>
  <si>
    <t>你可以神秘地进入一个与星界位面相连接的实体经验储存池。当你完成一次长休后，你能够获得一项你选择技能的熟练项，和一项你从《玩家手册》中选择的一个武器或工具的熟练项，如同你短暂地将自己的意识投影到了星界位面。你保留这些熟练项直到你完成下次长休。</t>
    <phoneticPr fontId="49" type="noConversion"/>
  </si>
  <si>
    <t>你知晓戏法法师之手 Mage Hand，当你使用该特质施展该戏法时，这只手是隐形的。
从3级开始，你可以使用该特质施展跳跃术 Jump。从5级开始，你可以使用该特质施展迷踪步 Misty steep，且无需材料成分。一旦你使用了该特质施展了跳跃术或迷踪步，直到完成一次长休前，你不能再次使用该特质再施展那个法术。你也能用你拥有的相应法术环阶的法术位来施展这些法术。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phoneticPr fontId="49" type="noConversion"/>
  </si>
  <si>
    <t>你知晓戏法电爪 Shocking Grasp。
从3级开始，你可以使用该特质施展羽落术 Feather Fall，且无需材料成分。从5级开始，你同样可以使用该特质施展浮空术 levitate，且无需材料成分。一旦你使用了该特质施展了这些法术中的任何一个，直到完成一次长休前，你不能再次使用该特质施展那个法术。你也能用你拥有的相应法术环阶的法术位来施展这些法术。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</si>
  <si>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你知晓戏法燃火术 produce flame。
从3级开始，你可以使用该特质施展燃烧之手 Burning Hands。从5级开始，你可以使用该特质施展火焰刀 Flame Blade，且无需材料成分。一旦你使用了该特质施展了燃烧之手或火焰刀，直到完成一次长休前，你不能再次使用该特质施展那个法术。你也能用你拥有的相应法术环阶的法术位来施展这些法术。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</si>
  <si>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你知晓戏法酸液飞溅 Acid Splash。
从3级开始，你可以使用该特质施展造水/枯水术 Create or Destroy Water。从5级开始，你可以使用该特质施展水墙术 Wall of Water，且无需材料成分。一旦你使用了该特质施展了造水/枯水术或水墙术，直到完成一次长休前，你不能再次使用该特质施展那个法术。你也能用你拥有的相应法术环阶的法术位来施展这些法术。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</si>
  <si>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你与生俱来的心灵防御能力，使你在为自己避免或结束魅惑和恐慌状态的豁免检定时具有优势。</t>
    <phoneticPr fontId="49" type="noConversion"/>
  </si>
  <si>
    <t>你知晓戏法法师之手 Mage Hand，当你使用该特质施展该戏法时，这只手是隐形的。
从3级开始，你可以使用该特质施展护盾术 Shield。从5级开始，你可以使用该特质施展侦测思想 Detect Thoughts。一旦你使用了该特质施展了护盾术或侦测思想，直到完成一次长休前，你不能再次使用该特质再施展那个法术。你也能用你拥有的相应法术环阶的法术位来施展这些法术。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phoneticPr fontId="49" type="noConversion"/>
  </si>
  <si>
    <t>你拥有运动技能的熟练项，并且在决定你的载重、和你可以推、拉及抬的重量时，你视作为体型大一级的生物。</t>
    <phoneticPr fontId="49" type="noConversion"/>
  </si>
  <si>
    <t>你具有冷冻伤害的抗性。即使你从未去过，你也天生地适应高海拔。这包括超过2万尺的高度。</t>
    <phoneticPr fontId="49" type="noConversion"/>
  </si>
  <si>
    <t>你可以超自然地借由坚硬的岩石避免受伤。当你受到伤害时，你可以使用你的反应，掷一粒d12。将你的体质调整值与骰掷的结果相加，降低该总和的伤害。
你可以使用此特质的次数等于你的熟练加值，当你完成一次长休后，你重新获得所有消耗的次数。</t>
    <phoneticPr fontId="49" type="noConversion"/>
  </si>
  <si>
    <t>你可以将你的熟练加值加入你的先攻数值。</t>
    <phoneticPr fontId="49" type="noConversion"/>
  </si>
  <si>
    <t>你拥有察觉技能的熟练项。</t>
    <phoneticPr fontId="49" type="noConversion"/>
  </si>
  <si>
    <t>当你的敏捷豁免检定失败时，你可以用反应投掷一粒d4并将其加入到结果中，这样做可能会将失败转变为成功。当你的速度为0或处于倒地状态时，你不能使用该反应。</t>
    <phoneticPr fontId="49" type="noConversion"/>
  </si>
  <si>
    <t>作为一个附赠动作，你能够跳跃一段距离，距离长度为你的熟练加值的五倍，并且不会触发借机攻击。你只能在你的速度高于0时才能使用该特质。你可以使用此特质的次数等于你的熟练加值，当你完成一次长休后，你重新获得所有消耗的次数。</t>
    <phoneticPr fontId="49" type="noConversion"/>
  </si>
  <si>
    <t>当你抄写，或仿造自己或其他人制作的工艺品时，你在用以制造一个一模一样复制品的属性检定中具有优势。</t>
    <phoneticPr fontId="49" type="noConversion"/>
  </si>
  <si>
    <t>多亏了你超自然的记忆力，你获得两项自选技能的熟练项。
此外，当你使用任何你具有熟练的技能进行一次属性检定时，在你投掷d20前，你可以让该检定具有优势。你可以使用这种方式给予自身优势的次数等于你的熟练加值，当你完成一次长休后，你重新获得所有消耗的次数。</t>
    <phoneticPr fontId="49" type="noConversion"/>
  </si>
  <si>
    <t>你可以确切地模仿你曾听到过的声音，包括嗓音。一个生物只有在进行一次成功的对抗DC为8+你熟练加值+你魅力调整值的感知（洞悉）检定后，才能听出你发出的声音是模仿的。</t>
    <phoneticPr fontId="49" type="noConversion"/>
  </si>
  <si>
    <t>用一个附赠动作，你向在你周围10尺内的敌人发出吼叫。直到你的下一个回合开始前，你和你的盟友对所有能听见你的敌人进行的攻击检定具有优势。你可以使用此特质的次数等于你的熟练加值，当你完成一次长休后，你重新获得所有消耗的次数。</t>
    <phoneticPr fontId="49" type="noConversion"/>
  </si>
  <si>
    <t>你拥有以下一项自选技能的熟练项：奥秘，调查，医药，巧手，或生存。</t>
    <phoneticPr fontId="49" type="noConversion"/>
  </si>
  <si>
    <t>你在为自己避免或结束恐慌状态的豁免检定时具有优势。</t>
    <phoneticPr fontId="49" type="noConversion"/>
  </si>
  <si>
    <t>你知晓一项你从术士法术列表中选择的戏法。智力，感知或魅力是你的施展该戏法的施法属性（当你选择该种族时进行决定）。</t>
    <phoneticPr fontId="49" type="noConversion"/>
  </si>
  <si>
    <t>你有一张布满尖牙的嘴，你可以使用它进行徒手打击。当你使用它命中目标时，该打击造成1d6+力量调整值的挥砍伤害，而非一次通常徒手打击的钝击伤害。</t>
    <phoneticPr fontId="49" type="noConversion"/>
  </si>
  <si>
    <t>你每次可以屏住呼吸至多15分钟。</t>
    <phoneticPr fontId="49" type="noConversion"/>
  </si>
  <si>
    <t>你可以让你自己进入一种凶狠的暴食状态。用一个附赠动作，你能使用你的啃咬进行一次特殊攻击，如果该攻击命中，它会造成正常伤害，同时你获得等同于你熟练加值的临时生命值。 你可以使用此特质的次数等于你的熟练加值，当你完成一次长休后，你重新获得所有消耗的次数。</t>
    <phoneticPr fontId="49" type="noConversion"/>
  </si>
  <si>
    <t>你拥有坚韧的鳞片皮肤，在未着装护甲时，你的基础AC为13+你的敏捷调整值。如果你着装护甲的AC较之更低，你可以用你的天生护甲来确定你的AC。当你使用你的天生护甲时，你可以正常获得盾牌提供的加值。</t>
    <phoneticPr fontId="49" type="noConversion"/>
  </si>
  <si>
    <t>由于你与大自然的神秘联系，拥有以下两项自选技能的熟练项：医药，自然，察觉，隐匿，或生存。</t>
    <phoneticPr fontId="49" type="noConversion"/>
  </si>
  <si>
    <t>你可以使用你的双角进行徒手打击。当你使用它命中目标时，该打击造成1d6+力量调整值的穿刺伤害，而非一次通常徒手打击的钝击伤害。</t>
    <phoneticPr fontId="49" type="noConversion"/>
  </si>
  <si>
    <t>当你在自己的回合中执行疾走动作，并至少移动了20尺后，你可以用附赠动作以你的角击进行一次近战攻击。</t>
    <phoneticPr fontId="49" type="noConversion"/>
  </si>
  <si>
    <t>在你的回合中，当你用近战攻击去作为攻击动作的一部分命中一个生物时，你可以用附赠动作以牛角尝试推撞他。目标生物必须在你的5尺范围内，且体型不能比你大超过一级。除非该生物在进行对抗DC为8+你的熟练加值+你的力量调整值的力量豁免中成功。否则，你将其从你的身边推离10尺。</t>
    <phoneticPr fontId="49" type="noConversion"/>
  </si>
  <si>
    <t>你总是能知道哪个方向是北方， 同时你在任何为导航和追踪所进行的感知（生存）检定具有优势。</t>
    <phoneticPr fontId="49" type="noConversion"/>
  </si>
  <si>
    <t>你可以用附赠动作进行疾走Dash动作。你可以使用此特质的次数等于你的熟练加值，当你完成一次长休后，你重新获得所有消耗的次数。并且你一回合不能使用该特质超过一次。
每当你使用该特质时，你获得等于你熟练加值的临时生命值。</t>
    <phoneticPr fontId="49" type="noConversion"/>
  </si>
  <si>
    <t>当你生命值降至0 而没有立即死亡时，可以改为使生命值降至1。此特质生效后必须完成一次长休后才能再次生效。</t>
    <phoneticPr fontId="49" type="noConversion"/>
  </si>
  <si>
    <t>由于和内在兽性的联系，你拥有以下一项自选技能的熟练项：特技，运动，威吓，或求生。</t>
    <phoneticPr fontId="49" type="noConversion"/>
  </si>
  <si>
    <t>用一个附赠动作，你可以展现出更加野兽的姿态。这此变形持续一分钟，直到你死亡，或你用一附赠动作变回正常形态。当你化形时，你获得等同于2x熟练加值的临时生命值。你可以使用此特质的次数等于你的熟练加值。当你完成一次长休后，你重新获得所有消耗的次数。
当你处于化形状态时，你从下列选项中额外获得一项好处（当你选择该种族时进行决定）：</t>
    <phoneticPr fontId="49" type="noConversion"/>
  </si>
  <si>
    <t>你获得1d6点的额外临时生命值。当你处于化形状态时，你的AC额外+1。</t>
    <phoneticPr fontId="49" type="noConversion"/>
  </si>
  <si>
    <t>当你使用化形时，以及在其后的每个处于化形形态的其他回合里，作为一个附赠动作，你可以使用用你的长牙进行徒手打击。当你使用它命中目标时，该打击造成1d6+力量调整值的穿刺伤害，而非一次通常徒手打击的钝击伤害。</t>
    <phoneticPr fontId="49" type="noConversion"/>
  </si>
  <si>
    <t>当你处于化形状态时，你的移动速度增加10尺。另外，当一生物在其回合进入你的5尺范围内时，你可以用反应移动最多10尺，且这样的移动不会触发借机攻击。</t>
    <phoneticPr fontId="49" type="noConversion"/>
  </si>
  <si>
    <t>当你处于化形状态时，你的感知检定具有优势。且除非你处于失能状态，否则任何在你30尺范围内的生物无法在对你进行的攻击检定中具有优势。</t>
    <phoneticPr fontId="49" type="noConversion"/>
  </si>
  <si>
    <t>你能够以爪子进行徒手攻击。当你使用它命中目标时，该打击造成1d6+力量调整值的挥砍伤害，而非一次通常徒手打击的钝击伤害。</t>
    <phoneticPr fontId="49" type="noConversion"/>
  </si>
  <si>
    <t>你拥有察觉和隐匿技能的熟练项。</t>
    <phoneticPr fontId="49" type="noConversion"/>
  </si>
  <si>
    <t>你的反应和敏捷允许你能以爆发性的速度移动。当你在战斗中移动时，你可以让你的速度直到回合结束翻倍。一旦你使用了这个特性，除非你在你的一个回合移动了0尺，否则你不能再使用它。</t>
    <phoneticPr fontId="49" type="noConversion"/>
  </si>
  <si>
    <t>你能够以爪子进行徒手打击。当你使用它命中目标时，该打击造成1d6+力量调整值的挥砍伤害，代替徒手打击原本的钝击伤害。</t>
    <phoneticPr fontId="49" type="noConversion"/>
  </si>
  <si>
    <t>你能屏住呼吸长达1小时。</t>
    <phoneticPr fontId="49" type="noConversion"/>
  </si>
  <si>
    <t>你的外壳提供充足的防御，你的基础AC是17（你的敏捷调整值不会影响这个数字）。你无法穿戴轻甲、中甲和重甲，但你在使用盾牌时，仍能获得盾牌的AC加值。</t>
    <phoneticPr fontId="49" type="noConversion"/>
  </si>
  <si>
    <t>由于你与自然的神秘联系，拥有以下一项自选技能的熟练项：驯兽、医药、自然、察觉、隐匿或生存。</t>
    <phoneticPr fontId="49" type="noConversion"/>
  </si>
  <si>
    <t>你能用一个动作缩回壳内。直到你出壳，你获得+4的AC加值， 在力量豁免与体质豁免具有优势。当你在龟壳内时，你处于倒地状态，速度为0且不能增加。你的敏捷豁免具有劣势，你不能执行反应，你唯一能执行的动作是以一个附赠动作从壳中出来。</t>
    <phoneticPr fontId="49" type="noConversion"/>
  </si>
  <si>
    <t>你能在水和空气中呼吸。</t>
    <phoneticPr fontId="49" type="noConversion"/>
  </si>
  <si>
    <t>你可以用这个特质施展云雾术fog cloud。从3级开始，你能用它施展造风术gust of wind，从5级开始，你也能用它施展水上行走water walk。
一旦你使用了该特质施展了这三个法术之一，直到你完成一次长休前，你都不能再次使用该特质施展那个法术。你也能用你拥有的相应法术环阶的法术位来施展这些法术。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</si>
  <si>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你可以与具有游泳速度的野兽、元素或怪兽沟通。它们能够理解你的话的意思，虽然你没有特殊的能力来明白它们的回应。</t>
    <phoneticPr fontId="49" type="noConversion"/>
  </si>
  <si>
    <t>你具有冷冻伤害的抗性，能够适应海洋深处的严寒。</t>
    <phoneticPr fontId="49" type="noConversion"/>
  </si>
  <si>
    <t>你对抗法术的豁免检定具有优势。</t>
    <phoneticPr fontId="49" type="noConversion"/>
  </si>
  <si>
    <t>你在避免或结束自己的中毒状态的豁免检定中具有优势。你也具有对毒素伤害的抗性。</t>
    <phoneticPr fontId="49" type="noConversion"/>
  </si>
  <si>
    <t>你知晓戏法毒气喷溅poison spray。你能够无限次施展化兽为友 animal friendship，不过目标只能是蛇。从3级开始，你能够施展暗示术suggestion，一但你施展了它，在你完成一次长休息前无法再次使用。你也能用你拥有的相应法术环阶的法术位来施展这些法术。
当你使用该特质施展这些法术时，智力，感知或魅力是你的施法属性（当你选择该种族时进行决定）。</t>
    <phoneticPr fontId="49" type="noConversion"/>
  </si>
  <si>
    <t>诘弗人</t>
  </si>
  <si>
    <t>诘弗人</t>
    <phoneticPr fontId="49" type="noConversion"/>
  </si>
  <si>
    <t xml:space="preserve">你与星界位面的精神连接让你拥有一簇神力火花的神秘权能，并通过你的武器来引导之。当你使用简易或军用武器命中一个目标时，你能对目标额外造成等同于你熟练加值点的力场伤害。 
你能使用此特质的次数等同于你的熟练加值，但每回合中只能使用一次。当你完成一次长休后，你重获全部已消耗的使用次数。 </t>
    <phoneticPr fontId="49" type="noConversion"/>
  </si>
  <si>
    <t xml:space="preserve">你和枪械有一种神秘的联系，这背后的渊源可追寻至诘弗人那钟情枪械的神祇们。因为祂们，你拥有所有枪械的熟练项，并无视任何枪械的 装填loading 属性。此外，使用枪械攻击最大射程内的敌人时，你的远程武器攻击检定不会因为超过常规射程具有劣势。 </t>
    <phoneticPr fontId="49" type="noConversion"/>
  </si>
  <si>
    <t>你在进行基于力量的属性检定与力量豁免时具有优势。此外，当决定你的载货量和推，拉，抬的重量时，你的体型视为比当前大一级。</t>
    <phoneticPr fontId="49" type="noConversion"/>
  </si>
  <si>
    <t>鼯猴人</t>
  </si>
  <si>
    <t xml:space="preserve">以一个附赠动作，你能用你的脚操纵一个物件、打开或关上一扇门或容器、或是捡起或放下一个微型物件。 </t>
    <phoneticPr fontId="49" type="noConversion"/>
  </si>
  <si>
    <t>鼯猴坚毅</t>
    <phoneticPr fontId="49" type="noConversion"/>
  </si>
  <si>
    <t>当你从至少离地10尺的高度坠落时，你可以用你的反应展开你的翼膜，水平滑行一段等同于你步行速度的距离（其方向由你决定），本次摔落对你造成的伤害变为0。</t>
    <phoneticPr fontId="49" type="noConversion"/>
  </si>
  <si>
    <t xml:space="preserve">你血管中流淌的魔法增强了你的天生防御力。当你受到伤害时，你可以用反应投掷一枚d6。你受到的伤害减少 投掷结果+你的熟练加值 点（最低降至0） 。 
你能使用此特质次数等同于你的熟练加值，完成一次长休后，你重获全部已消耗的使用次数。 </t>
    <phoneticPr fontId="49" type="noConversion"/>
  </si>
  <si>
    <t>如果你向着目标直线移动了至少30尺，并在同一轮内以近战武器攻击命中了目标，你可以在此攻击后立即使用附赠动作，用你的蹄击对目标进行一次攻击。</t>
    <phoneticPr fontId="49" type="noConversion"/>
  </si>
  <si>
    <t>你可以用你的马蹄来进行徒手打击。如果你以蹄击中目标，将造成1d6+力量调整值的钝击伤害，替代你通常的徒手打击伤害。</t>
    <phoneticPr fontId="49" type="noConversion"/>
  </si>
  <si>
    <t>在决定你的载重、和你可以推、和拉的重量时，你视作为体型大一级的生物。
另外，因为你的马腿，任何需要手脚并用的攀爬对你而言尤其困难。当你进行攀爬时，每移动1尺需要花费额外4尺移动力，而非往常的额外1尺。</t>
    <phoneticPr fontId="49" type="noConversion"/>
  </si>
  <si>
    <t>你的精类血统连接着自然，这给予了你与自然界与其中的动物有着一种直觉上的联系。因此，你拥有以下一项自选技能的熟练项：医药，自然，或生存。</t>
    <phoneticPr fontId="49" type="noConversion"/>
  </si>
  <si>
    <t>使用一个动作，你可以改变你的外表和声音。你决定这些变化的特征，包括你的肤色，头发长度和性别。你也可以调整你的身高和体重，并可以在中型和小型之中改变你的体型。你能够让自己看上去像是其他种族的一员，但这并不会改变你的游戏数据。你不能复制一个你从没见过的个体的外表，而你也必须选择一个和你基本肢体相同的生物。你的衣服和装备不能被该特质改变。
你将一直保持这个新的形态，直到你用一个动作变回你的真实形态，或者死亡。</t>
    <phoneticPr fontId="49" type="noConversion"/>
  </si>
  <si>
    <t>多亏了你与妖精国度的联系，你可以获得以下两项自选技能的熟练：欺瞒，洞悉，威吓，表演，或游说。</t>
    <phoneticPr fontId="49" type="noConversion"/>
  </si>
  <si>
    <t>你是类人生物。</t>
    <phoneticPr fontId="49" type="noConversion"/>
  </si>
  <si>
    <t>你是类人生物。如果有任何前提或效果需要你作为一个类地精生物，你也被视作类地精生物。</t>
    <phoneticPr fontId="49" type="noConversion"/>
  </si>
  <si>
    <t>你是精类生物。</t>
    <phoneticPr fontId="49" type="noConversion"/>
  </si>
  <si>
    <t xml:space="preserve">你是构装生物。 </t>
    <phoneticPr fontId="49" type="noConversion"/>
  </si>
  <si>
    <t xml:space="preserve">你是泥怪。 </t>
    <phoneticPr fontId="49" type="noConversion"/>
  </si>
  <si>
    <t xml:space="preserve">你是怪兽。 </t>
    <phoneticPr fontId="49" type="noConversion"/>
  </si>
  <si>
    <t>你的基础步行速度为30尺，同时你拥有等同于你步行速度的游泳速度。</t>
    <phoneticPr fontId="49" type="noConversion"/>
  </si>
  <si>
    <t>你的基础步行速度为25尺，你的速度不会因穿着重甲而减慢</t>
  </si>
  <si>
    <t>你的基础步行速度为25尺</t>
  </si>
  <si>
    <t>你的步行速度为30尺，并且拥有等于你行走速度的攀爬速度。</t>
    <phoneticPr fontId="49" type="noConversion"/>
  </si>
  <si>
    <t>你知晓德鲁伊伎俩 Druidcraft。从3级开始，你能用该特质施展妖火 Faerie。从5级开始，你能使用该特质施展变巨/缩小术 Enlarge/Reduce。一旦你使用了该特特质施展了妖火或变巨/缩小术，直到完成一次长休前，你不能再次使用该特质施展那个法术。你也能用你拥有的相应法术环阶的法术位来施展这些法术。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</si>
  <si>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因为你的翅膀，你拥有等于你步行速度的飞行速度。如果你穿戴中甲和重甲，则你不能使用此飞行速度。</t>
    <phoneticPr fontId="49" type="noConversion"/>
  </si>
  <si>
    <t>你可以使用你头与的双角进行徒手打击。当你使用它命中目标时，该打击造成1d6+力量调整值的钝击伤害，而非一次通常徒手打击的钝击伤害。</t>
    <phoneticPr fontId="49" type="noConversion"/>
  </si>
  <si>
    <t>你对抗法术的豁免检定具有优势。</t>
    <phoneticPr fontId="49" type="noConversion"/>
  </si>
  <si>
    <t>无论何时你进行一次跳远或跳高时，你可以掷一枚d8，并将掷骰结果的数字加到你所跳跃的尺数即使是进行一次立定跳远。这段额外的距离像通常的情况一样花费移动力。</t>
    <phoneticPr fontId="49" type="noConversion"/>
  </si>
  <si>
    <t>作为狂欢的化身，你拥有表演和游说技能的熟练项，并且你拥有一项自选乐器的熟练项。</t>
    <phoneticPr fontId="49" type="noConversion"/>
  </si>
  <si>
    <t xml:space="preserve">只要你没有携带或穿着任何东西，你就能跻身通过至多只有1寸宽的空间。你为发起或逃脱擒抱所进行的属性检定具有优势。 </t>
    <phoneticPr fontId="49" type="noConversion"/>
  </si>
  <si>
    <t xml:space="preserve">在微光光照下，你身边 60 尺内可以视为等同于明亮光照。而在黑暗中，该范围内可视为等同于微光光照。你无法在黑暗中分辨颜色，只能看到有灰度的黑白画面。 </t>
    <phoneticPr fontId="49" type="noConversion"/>
  </si>
  <si>
    <t xml:space="preserve">你能够屏住呼吸至多1个小时。 </t>
    <phoneticPr fontId="49" type="noConversion"/>
  </si>
  <si>
    <t xml:space="preserve">你具有强酸和毒素伤害的抗性，你为防止陷入中毒状态所做的豁免具有优势。 </t>
    <phoneticPr fontId="49" type="noConversion"/>
  </si>
  <si>
    <t>使用一个动作，你可以重塑你的身体，让你拥有一个头、1~2只手臂、1~2条腿，以及临时的手和脚，你也可以变回没有肢体的浆团。当你具有人类般的身形时，你能穿着和你体型相同的类人生物的衣服和护甲。 
使用一个附赠动作，你能挤出一条伪肢，该伪肢至多 6 寸宽，10 尺长，或是将伪足吸收回你的身体里。作为该附赠动作的一部分，你能用这条伪肢操纵一个物件，打开或关闭一扇门或容器，或是捡起或放下一个微型物件。这条伪肢不具有感知器官，不能用来攻击、激活魔法物品，或是举起超过 10 磅重的物体。</t>
    <phoneticPr fontId="49" type="noConversion"/>
  </si>
  <si>
    <t>螳螂人</t>
  </si>
  <si>
    <t>螳螂人心灵感应</t>
  </si>
  <si>
    <t xml:space="preserve">若你不穿着护甲时，你的甲壳让你的基础护甲等级变为 13+敏捷调整值。
以一个动作，你能改变你甲壳的颜色来与你身边环境的颜色与纹理相匹配，这让你在进行敏捷（隐匿）检定来在这些环境中躲藏时具有优势。 </t>
    <phoneticPr fontId="49" type="noConversion"/>
  </si>
  <si>
    <t>变色甲壳</t>
    <phoneticPr fontId="49" type="noConversion"/>
  </si>
  <si>
    <t xml:space="preserve">在你的两只主臂下，还拥有两只稍微小一些的副臂。这些副臂各能用于操纵一个物件、打开或关闭一扇门或容器、或是捡起或放下一个微型物件、或持用一把具有轻型属性的武器。 </t>
    <phoneticPr fontId="49" type="noConversion"/>
  </si>
  <si>
    <t xml:space="preserve">你不需要睡眠且能在长休期间保持清醒，但你仍然必须避免剧烈活动以获得休息的好处。 </t>
    <phoneticPr fontId="49" type="noConversion"/>
  </si>
  <si>
    <t>没有魔法的协助，你不能说你知晓的非斯里克林语言。你使用心灵感应作为替代来传达你的想法。你拥有一种能将你的想法通过心灵传递给你120尺内且你可见的自愿生物的魔法能力。一个被你连接的生物无需与你拥有共通语言就可以理解你的思想，但是需要至少能够理解一种语言。你与一个生物的心灵感应连接会在以下情况下断裂：你和该生物之间的距离超过 120 尺，你们两者之一失能，或你们两者之一心灵上断开连接（无需动作）。</t>
    <phoneticPr fontId="49" type="noConversion"/>
  </si>
  <si>
    <t>你计算自己的负重及拖、拉、拽 的重量时，视为大一级的体型</t>
    <phoneticPr fontId="49" type="noConversion"/>
  </si>
  <si>
    <t>你在对抗恐慌和魅惑的豁免检定上具有优势。</t>
    <phoneticPr fontId="49" type="noConversion"/>
  </si>
  <si>
    <t>你有着厚革质的皮肤，在未穿戴护甲时AC为12+体质调整值。如果你护甲的AC较之更低，你可以用你的天生防御AC取代之，你可以正常获得盾牌提供的AC加值。</t>
    <phoneticPr fontId="49" type="noConversion"/>
  </si>
  <si>
    <t>你可以用你的象鼻抓取物品，你也可以把它作为通气孔，它具有五尺的触及并可以举起等同你力量值5倍磅数的物品。你可以用它来完成以下简单的任务：抬起，放下，握住，推一个物品或一个生物；打开或关上一扇门或一个容器，擒抱某人或进行徒手击打。你的dm可能会允许你把其他简单的任务添加到这个列表里。
你的象鼻不能使用武器或盾牌或任何需要手动操作的事情，比如使用工具或魔法物品或作为一个法术的姿势成分。</t>
    <phoneticPr fontId="49" type="noConversion"/>
  </si>
  <si>
    <t>仰仗你敏感的鼻子，你在依赖嗅觉进行的感知（察觉），感知（生存）和智力（调查）检定上具有优势。</t>
    <phoneticPr fontId="49" type="noConversion"/>
  </si>
  <si>
    <t>你的蝠翼可以减缓你的下降，让你滑翔。当你坠落而没有失能，在计算坠落伤害时，你可以从坠落高度中减去100英尺，每下降1英尺，你可以水平移动2英尺。</t>
    <phoneticPr fontId="49" type="noConversion"/>
  </si>
  <si>
    <t>你可以在水中呼吸空气，你获得等于你步行速度的游泳速度.</t>
    <phoneticPr fontId="49" type="noConversion"/>
  </si>
  <si>
    <t>你的手臂旁边长着两个特殊的附肢。你可以选择它们是爪子还是触手。使用一个动作，你可以使用他们来尝试擒抱一个生物。这些附肢都是天生武器，你可以用它们进行徒手攻击。如果你用它攻击，目标会受到1d6 +你的力量调整值的钝击伤害，而非普通徒手攻击的钝击伤害。在击中目标后，你可以尝试用附赠动作擒拿抱目标。这些附肢不能精确操控任何东西，也不能使用武器、魔法物品或其他特殊装备。</t>
    <phoneticPr fontId="49" type="noConversion"/>
  </si>
  <si>
    <t>你获得等于你步行速度的攀爬速度。</t>
    <phoneticPr fontId="49" type="noConversion"/>
  </si>
  <si>
    <t>你皮肤的一些地方被厚厚的外壳覆盖着。当你不穿重甲时，你将获得AC +1加值。</t>
    <phoneticPr fontId="49" type="noConversion"/>
  </si>
  <si>
    <t>使用动作你可以从口腔的腺体中喷射出一股酸性物质，选择30英尺内你能看到的一个生物或物体作为目标。除非其成功通过DC等于8 +你的体质调整值+你的熟练加值的敏捷豁免检定，否则目标受到2d10强酸伤害。当你达到第11级(3d10)和第17级(4d10)时，伤害增加1d10。该特性的可用次数等于你的体质调整值（至少一次）。通过完成一次长休你可以恢复全部已消耗次数。</t>
    <phoneticPr fontId="49" type="noConversion"/>
  </si>
  <si>
    <t>你在所有智力，感知和魅力的豁免检定上具有优势。</t>
    <phoneticPr fontId="49" type="noConversion"/>
  </si>
  <si>
    <t>你在以下一项你选择的技能上具有熟练项: 奥秘, 历史, 调查, 医药, 表演或者巧手。 你同样获得一种你选择的工具的熟练项。
当你进行你选择的技能或工具的属性检定时，投一枚D4并将其结果加到骰值上。</t>
    <phoneticPr fontId="49" type="noConversion"/>
  </si>
  <si>
    <t>通过用皮肤吸收氧气，你可以水下呼吸一小时，一旦超过时限，你就无法再次使用本特性直到完成一次长休。</t>
    <phoneticPr fontId="49" type="noConversion"/>
  </si>
  <si>
    <t>你的爪子是天生武器，你可以用来进行徒手打击。如果你用它来攻击，你可以造成等同于1d4+你力量调整值的挥砍伤害，而非普通的徒手打击。</t>
    <phoneticPr fontId="49" type="noConversion"/>
  </si>
  <si>
    <t>你获得下列技能中一项你选择技能的熟练项：运动、威吓、游说或生存。</t>
    <phoneticPr fontId="49" type="noConversion"/>
  </si>
  <si>
    <t>你可以用一个附赠动作来发出一阵特别危险的咆哮。指定身边10 尺内能听到你声音的生物必须进行一次感知豁免，否则他将因此陷入恐慌，并持续至你的下回合结束。该DC等于8+你的熟练加值+你的体质调整值。一旦你使用了此特性，直到你完成一次长休或短休才能再次使用。</t>
    <phoneticPr fontId="49" type="noConversion"/>
  </si>
  <si>
    <t>你被设计为拥有非凡的强韧，这表现在以下几个方面：
• 你进行对抗毒素的豁免时具有优势，并且拥有毒素伤害的抗性。
• 你不需要吃、喝和呼吸。
• 你对疾病免疫。
• 你不需要睡眠，也不会因为魔法效果而陷入睡眠。</t>
    <phoneticPr fontId="49" type="noConversion"/>
  </si>
  <si>
    <t>当你进行长休息时，你必须花费6小时处于一种静止的、非激活的状态，以代替睡眠。处于该状态时，你变得迟缓，但不会失去意识，并能够保持正常的视力和听力。</t>
    <phoneticPr fontId="49" type="noConversion"/>
  </si>
  <si>
    <t>你的身体有内置的防护层，这一防护可被护甲增强：
• 你的护甲等级（AC）+1
• 你仅能装备你具有熟练的护甲。为了穿着这件护甲，你必须花费1个小时的时间将它组装进你的身体，在此期间你必须与该护甲保持接触。为了脱卸这件护甲，你同样要花费1小时来将其移除。你能在以此法穿着或脱卸护甲时进行休息。
• 只要你还活着，你所穿着的护甲就不能在违背你意愿的情况下被卸下。</t>
    <phoneticPr fontId="49" type="noConversion"/>
  </si>
  <si>
    <t>你选择一项技能和一种工具，获得其熟练。</t>
    <phoneticPr fontId="49" type="noConversion"/>
  </si>
  <si>
    <t>你对所有感知豁免具有优势。</t>
    <phoneticPr fontId="49" type="noConversion"/>
  </si>
  <si>
    <t>你对心灵伤害具有抗性。</t>
    <phoneticPr fontId="49" type="noConversion"/>
  </si>
  <si>
    <t>你能够对 10倍等级数 尺内任何你能看到的生物通过心灵感应说话。你不必须懂得该生物的语言也能使其理解你通过心灵感应所传达的话语，但目标必须至少能够理解一种语言。
当你对一个生物通过心灵感应说话时，你能以一个动作赋予该生物通过心灵感应向你说话的能力1小时或者你使用一个动作提前终止。为了使用这个能力，这个生物必须能看见你并且在该特性的范围内。你只能同时将该能力作用于一个生物：作用于另一人时，上一个人的该能力就被转移。</t>
    <phoneticPr fontId="49" type="noConversion"/>
  </si>
  <si>
    <t>离梦人睡眠，但不会像其他生物一样在睡眠中连接梦境异界。而是会在睡眠中通过心灵读取与他们链接的异界精神体的记忆。所以，你对会让你做梦的法术或魔法效应（例如托梦术）免疫，但是会让你陷入睡眠的法术或效果（例如睡眠术）对你正常生效。</t>
    <phoneticPr fontId="49" type="noConversion"/>
  </si>
  <si>
    <t>当你在短休结束时掷出一个 1 或 2 的骰子时，你可以重新掷出这个骰子，并且必须使用新的骰子。</t>
    <phoneticPr fontId="49" type="noConversion"/>
  </si>
  <si>
    <t>你可以用心灵感应的方式和任何你能在 30 尺内看到的生物说话。你不需要与该生物共享一种语言，因为它能理解你的心灵感应，但它必须能理解至少一种语言。这个沟通的过程是缓慢和有限的，只允许你传输和接收简单的想法和直观的概念。</t>
    <phoneticPr fontId="49" type="noConversion"/>
  </si>
  <si>
    <t>你拥有游说的熟练。</t>
    <phoneticPr fontId="49" type="noConversion"/>
  </si>
  <si>
    <t>心灵感应的洞察力你的思想与周围世界的联系加强了你的意志。你在所有的感知和魅力豁免上都有优势。</t>
    <phoneticPr fontId="49" type="noConversion"/>
  </si>
  <si>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phoneticPr fontId="49" type="noConversion"/>
  </si>
  <si>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phoneticPr fontId="49" type="noConversion"/>
  </si>
  <si>
    <t>在微光中，你可以将周围60尺内视为明亮环境般视物，而在黑暗中，你可以将之视为微光环境般视物。在黑暗中，你将颜色辨识为不同深度的灰色。</t>
    <phoneticPr fontId="49" type="noConversion"/>
  </si>
  <si>
    <t>你不需要呼吸。</t>
    <phoneticPr fontId="49" type="noConversion"/>
  </si>
  <si>
    <t>你拥有等同于你步行速度的攀爬速度。此外，自第3级起，不需要借助双手，你可以在垂直表面上站立与行走（包括上下左右），甚至可以以此倒立着悬挂在天花板上。</t>
    <phoneticPr fontId="49" type="noConversion"/>
  </si>
  <si>
    <t>你的尖牙啃咬是一件天生武器，这视为一件你熟练的简易武器。当你使用此啃咬发动攻击时，你将你的体质调整值而不是力量调整值加在攻击和伤害骰上。此啃咬在命中时造成1d4点穿刺伤害。当你失去一半或以上的生命值时，你在用此啃咬做出的攻击骰上有优势。
当你使用此啃咬攻击并命中一个并非构装生物或不死生物的生物时，你可以选择以下方式之一来强化你自己：
• 你恢复等同于此啃咬造成的穿刺伤害的生命值。
• 你在下一次你做出的属性检定或攻击骰上获得等同于此啃咬造成的穿刺伤害的加值。
你能够以此啃咬强化你自己的次数等同于你的熟练值，并且你在结束一次长休息时重新获得所有已消耗的次数。</t>
    <phoneticPr fontId="49" type="noConversion"/>
  </si>
  <si>
    <t>黑暗视觉</t>
    <phoneticPr fontId="49" type="noConversion"/>
  </si>
  <si>
    <t>神秘信物</t>
    <phoneticPr fontId="49" type="noConversion"/>
  </si>
  <si>
    <t>遥远视野</t>
    <phoneticPr fontId="49" type="noConversion"/>
  </si>
  <si>
    <t>以一个附赠动作，你可以无害地移除你的一缕头发，一片指甲，或者一颗牙齿。这信物被灌注了魔力，持续到你完成一次长休为止。当此信物被以此法灌注魔力时，你可以执行心灵传信Telepathic Message，遥远视野Remote Viewing或巫咒魔法Hex Magic。</t>
    <phoneticPr fontId="49" type="noConversion"/>
  </si>
  <si>
    <t>如果你和握持或携带此信物的生物相距在10里之内，你可以以一个动作向他传递一条心灵感应信息。这条信息最多包含二十五个单词。</t>
    <phoneticPr fontId="49" type="noConversion"/>
  </si>
  <si>
    <t>如果你在信物的10里内，你可以以一个动作进入一种出神状态。此出神状态持续1分钟，若你解消此状态（无需动作）或失能则提前结束。在此出神状态下，你可以通过信物来看和听，就如同你身处那里一样。当你使你的感官处于信物的位置时，你对自身周围的状况处于目盲与耳聋状态。当此出神状态结束时，信物无害地被摧毁。
一旦你使用此特性创造一个信物，你便不能再次这样做，直到你结束了一次长休，长休结束时你失去的部分会长回来。</t>
    <phoneticPr fontId="49" type="noConversion"/>
  </si>
  <si>
    <t>你可以通过此特性施展法术易容术disguise self与脆弱诅咒hex。一旦你通过此特性使用了这些法术之一，你就不能再以这种方式施放该法术，直到你结束一次长休息。你也可以使用任意你拥有的法术位来施放这些法术。
智力、感知或魅力是你施放这些法术的关键属性（当你获得此血统时选择具体是哪一个属性）。</t>
    <phoneticPr fontId="49" type="noConversion"/>
  </si>
  <si>
    <t>先祖传承</t>
    <phoneticPr fontId="49" type="noConversion"/>
  </si>
  <si>
    <t>你曾自死亡中逃脱，这一事实通过以下特性表现：
你在对抗疾病和中毒的豁免骰上有优势，并且你对毒素伤害具有抗性。
你在死亡豁免骰上有优势。
你不需要进食、喝水以及呼吸。
你不需要睡眠，且魔法无法让你睡眠。你可以花费4小时处于一种一动不动但保持知觉清醒的状态中，以此来完成长休息。</t>
    <phoneticPr fontId="49" type="noConversion"/>
  </si>
  <si>
    <t>你短暂地回忆起了过去的瞬间，这可能是来自许多年前或上一世的逝去回忆。当你进行一个使用一项技能的属性检定时，你可以在看到d20的结果后立刻投掷一枚d6，并将d6的结果加在此检定上。你可以使用此特性的次数等同于你的熟练值，并且你在结束一次长休息时重新获得所有已消耗的次数。</t>
    <phoneticPr fontId="49" type="noConversion"/>
  </si>
  <si>
    <t>生物种类</t>
    <phoneticPr fontId="49" type="noConversion"/>
  </si>
  <si>
    <t>人物卡导入，基本适合全部骰娘</t>
    <phoneticPr fontId="49" type="noConversion"/>
  </si>
  <si>
    <t>右键下格，点击“复制”，并在下方的TXT栏“粘贴”就可以导出文本，然后再选中文本，复制到最上方显示框，然后再剪切进QQ可以避免黏贴的是图片的问题。
也可以直接复制下格，复制进一个TXT文本。</t>
    <phoneticPr fontId="49" type="noConversion"/>
  </si>
  <si>
    <t>→</t>
    <phoneticPr fontId="49" type="noConversion"/>
  </si>
  <si>
    <t>适用于绝大部分骰娘包括：海豹、OlivaDice、Dice!、MDice、塔骰等体系的骰子。（应该除了梨骰都行）</t>
    <phoneticPr fontId="49" type="noConversion"/>
  </si>
  <si>
    <t>角色姓名导入</t>
    <phoneticPr fontId="49" type="noConversion"/>
  </si>
  <si>
    <t>“复制”下格发送给骰娘</t>
    <phoneticPr fontId="49" type="noConversion"/>
  </si>
  <si>
    <t>用一个附赠动作，你可以魔法地传送到一处30尺内且未被占据的可见空间。你可以使用该特质的次数等于你的熟练加值，当你完成一次长休后，你重新获得所有消耗的次数。
当你到达3级时，你的精类步会根据你的季节获得额外的效果；如果该效果需要进行一次豁免，该DC等于8+你的熟练加值+你的智力，感知或魅力调整值（当你选择该种族时进行决定）：
秋 Autumn。在你使用精类步后，你可以立即选择两个10尺内的可见生物，这些生物必须进行一次感知豁免，如果豁免失败则被你魅惑1分钟，或者直到你或你的同伴对他做出伤害行为为止。
冬 Winter。在你使用精类步时，你可以选择传送前位于你5尺内的一个可见生物，这些生物必须进行一次感知豁免，如果失败则对你陷入恐慌，该效应持续至你的下一回合结束。
春 Spring。在你使用精类步时，你可以碰触5尺内的一个自愿的生物。这个生物代替你进行传送，出现在你选择的一处在你30尺范围内且未被占据的可见空间。
夏 Summer。在你使用精类步后，你立即选择的5尺范围内的每个可见生物，将受到等同于你熟练加值的火焰伤害。</t>
    <phoneticPr fontId="49" type="noConversion"/>
  </si>
  <si>
    <t>第6级起，每当你完成一次长休，你可以参照你的星图来寻找预兆。此时，掷一枚骰子。直到你完成下一次长休为止，你获得一个基于此掷骰结果奇偶性的特殊反应能力。
• 吉兆Weal（奇数）。 当你周围30尺内的一个可见生物进行一次攻击检定、豁免检定、或属性检定，你可以使用你的反应来骰一个d6，并将结果加入到检定结果中。
• 凶兆Woe（偶数）。 当你周围30尺内的一个可见生物进行一次攻击检定、豁免检定、或属性检定，你可以使用你的反应来骰一个d6，并将结果从检定结果中减去。
你可以使用这一反应能力的次数等同于你的熟练加值次，在你完成一次长休后，你会重获全部已消耗的使用次数。</t>
    <phoneticPr fontId="49" type="noConversion"/>
  </si>
  <si>
    <t xml:space="preserve">第2级起，作为你天文学研究的一部分，你创造了一张星图。它是一个微型物体，可以用作你施展德鲁伊法术时的法器。你通过在星图列表上掷骰或选择一个来确定它的形态。
当你持握这件星图时，你获得这些好处：
• 你习得戏法 神导术guidance
• 你时刻准备着 光导箭guiding bolt这个法术，它对你来说视为一个德鲁伊法术，且不计入你的每日准备法术上限。
• 你可以施展数次 光导箭guiding bolt 无而无需消耗法术位。其次数等同于你的熟练加值次，在你完成一次长休后你会重获全部已消耗使用次数。
如果你丢失了星图，你可以举行一场为时一小时的仪式来使用魔法创造一个替代品。这一仪式可以在一场短休或长休时举行，并会摧毁先前的星图。
星图形态
D6——星图样式 
1：一幅布满星座图列的卷轴。 
2：一块钻有细孔的石板 
3：一张斑点枭熊皮，标有凸痕记号 
4：一套黑檀木封皮地图集 
5：一块遇光会投射出星辰轨迹的水晶 
6：描绘星座排列的玻璃圆盘 </t>
    <phoneticPr fontId="49" type="noConversion"/>
  </si>
  <si>
    <t>第2级起，以一个附赠动作，你可以消耗一次荒野形态特性使用次数以呈现一个星耀形态，而非变化为野兽形态。
当处于星耀形态时，你保留你的游戏数据，但你的身体变得明亮；你的关节星光熠熠并有如星图一般由亮线连接。这一形态散发出10尺半径的明亮光照以及其外10尺的昏暗光照。这一形态持续10分钟。如果你解除它（无需动作）、失能、死亡、或再次使用此特性，它就会提前结束。
每当你化身星耀形态时，你选择以下在你身上闪耀的星座旨意；你的选择将为你在形态中提供特定的增益：
• 射手座Archer。 一个弓箭射手的星座于你身上浮现。当你激活这个形态时，你可以进行一次远程法术攻击，对你60尺内的一个生物射出一发光箭。命中时，此攻击将造成等同于1d8+你的感知调整值点的光耀伤害。你也可以在它结束前的后续回合中以一个附赠动作再次进行这一攻击。
• 圣杯座Chalice。一个予命圣杯的星座于你身上浮现。当你消耗法术位施展法术时，你或你周围30尺内的另一生物可以恢复等同于 1d8+你的感知调整值 点的生命值。那个法术必须是能为生物恢复生命值的法术。
• 巨龙座Dragon。 一个智慧巨龙的星座于你身上浮现。当你进行一次智力或感知检定，或是进行一次体质豁免来维持法术专注时，你可以将d20 中9或以下的骰值视为10。</t>
    <phoneticPr fontId="49" type="noConversion"/>
  </si>
  <si>
    <t>第10级起，你的星耀形态星座增强了。射手座和圣杯座中的1d8都变成了2d8，而在巨龙座激活期间，你将获得20尺的飞行速度，并且可以悬浮。
不止如此，每个你的回合开始时，若此时你处于在星耀形态下，你可以更改当前身上闪耀的星座。</t>
    <phoneticPr fontId="49" type="noConversion"/>
  </si>
  <si>
    <t>第14级起，当你处于星耀形态时，你的身体部分无实质化，使你获得钝击、穿刺、与挥砍伤害的抗性。</t>
    <phoneticPr fontId="49" type="noConversion"/>
  </si>
  <si>
    <t>你从邪术师法术列表中选择两个戏法作为已知法术。
在获得更高的邪术师等级后你还可以习得其它的戏法，具体数据见“邪术师职业表”中“已知戏法”一栏。</t>
  </si>
  <si>
    <t>“邪术师职业表”里记录了你可用以施展邪术师法术的1环至5环法术位数量。
表格中还记录了法术位对应的法术环阶，且你所有的法术位都属于同一环阶。
施展1环或更高环阶的邪术师法术时，都需要消耗一枚法术位。
已消耗的法术位可在完成长休或短休后恢复。
例如，达到第5级时，你总共具有两枚3环法术位。
你施展1环法术巫术箭时，必须消耗消耗这些法术位其中之一，并把它作为一个3环法术施放。</t>
  </si>
  <si>
    <t>第1级时，你从邪术师法术列表里选择两个1环法术作为已知法术。
“邪术师职业表”中“已知法术”一栏记录了你获得更多法术时的相应等级。
每个被选的法术都必须在当前等级拥有可用以施展该法术的法术位，具体见表。
比如，当你达到第6级时，你将获得一个1环、2环或3环的新邪术师法术。
另外，当你提升本职的职业等级时，你可以从邪术师法术列表里选择一个新法术来代替一个旧的邪术师已知法术，但是你的角色必须拥有用以施展新选法术的可用法术位。</t>
  </si>
  <si>
    <t>魅力是你施展邪术师法术的关键属性。
每当你的法术需要施法关键属性时均指向你的魅力值。
而你邪术师法术的豁免DC和攻击检定，则使用你的魅力调整值。
法术豁免DC＝8＋你的熟练加值＋你的魅力调整值
法术攻击调整值＝你的熟练加值＋你的魅力调整值</t>
  </si>
  <si>
    <t>你可以使用奥术法器作为你施展邪术师法术的法器。</t>
  </si>
  <si>
    <t>你在神秘学识的研习过程中发掘出魔能祈唤的方式，这些禁忌的知识残章让你获得了持久的魔法能力。
第2级时，你获得两种自选的魔能祈唤。
在获得更高的邪术师等级后你还可以习得其它的魔能祈唤，具体数据见“邪术师职业表”中“已知祈唤”一栏。
另外，你提升本职的等级时，可以用新的祈唤替换一个已学会的祈唤，但你的角色必须满足学习新祈唤的先决条件。</t>
  </si>
  <si>
    <t>你的宗主给予你一本名为“影之书”的魔法书。
获得该特性后，从任意职业法术列表中选择三个戏法（这三个戏法不必来自同一个列表）。
该魔法书在你身上时，你可以随意施展那些法术。
它们不算入你的已知戏法数量中。
这些法术就算本来不属于邪术师法术列表，你也将其视为邪术师法术。
如果你丢失了自己的影之书，你可以举行一个1小时的仪式，并从你的宗主处获得一个替代品。
仪式可以在短休或长休期间完成，而它会摧毁之前的魔法书。
当你死亡时，该书也将化为灰烬。</t>
  </si>
  <si>
    <t>第11级时，你的宗主赋予你一种称为秘法的魔法奥秘。
你可以选择一个6环的邪术师法术作为你的玄奥秘法。
你施展秘法时无需消耗法术位，而消耗掉的秘法可以通过完成一次长休进行恢复。
在获得更高的邪术师等级后，你将可以选择更多的邪术师法术以该方式施展：第13级时可选一个7环法术，15级时可选一个8环法术，17级时可选一个9环法术。
完成一次长休后，所有消耗掉的秘法都会恢复。</t>
  </si>
  <si>
    <t>当你达到相应的术士等级时，你习得下表中的额外法术。
这些法术对你而言视为术士法术，且不受术士表上已知法术一栏的数量限制。
每当你提升术士等级时，你可以选择一个环数相同的新法术来替换你因此特性习得的一个法术。
该法术必须为术士、邪术师或法师法术列表中的一个预言系或附魔系法术。
术士等级—法术
1级—哈达之臂，不谐低语，心灵撕裂
3级—安定心神，侦测思想
5级—哈达之欲，短讯术
7级—艾伐黑触手，异怪召唤术
9级—拉瑞心灵联结，心灵遥控</t>
  </si>
  <si>
    <t>当你达到相应的术士等级时，你习得下表中的额外法术。
这些法术对你而言视为术士法术，且不受术士表上已知法术一栏的数量限制。
每当你提升术士等级时，你可以选择一个环数相同的新法术来替换你因此特性习得的一个法术。
该法术必须为术士、邪术师或法师法术列表中的一个防护系或变化系法术。
术士等级—法术
1级—警报术，防护善恶
3级—援助术，次级复原术
5级—解除魔法，防护能量伤害
7级—行动自如，构装体召唤术
9级—高等复原术，力场墙
此外，你可以从秩序显迹表格中选择或掷骰决定一种你在施法时显现出与秩序之联系的方式。
时序显迹
D6：显迹
1：幽灵般的虚幻齿轮在你身后旋转。
2：时钟的指针出现在你的眼中。
3：你的皮肤发出如黄铜般的金属光泽。
4：你的体表浮动着方程式和几何图形。
5：你的法器短暂地变化成小巧的机械装置。
6：你和那些受到你法术影响的生物都会听到齿轮的滴答声或是钟表的响铃。</t>
  </si>
  <si>
    <t>第1级起，每当你把一个敌对生物的生命值降至0，你都会获得等同于你的魅力调整值＋你的邪术师等级的临时生命值（最低为1）。</t>
  </si>
  <si>
    <t>从1级起，你得到了向一个敌人施加恶毒诅咒的能力。
以一个附赠动作，选择一个处于你周围30英尺内，你能看见的生物。
该目标被诅咒1分钟。
该诅咒将会在目标死亡、你死亡、你陷入失能时提前结束。
直到诅咒结束，你得到下述的好处：
你对被诅咒目标的伤害检定中得到加值。加值等于你的熟练加值。
你对被诅咒目标的任何攻击检定，若在d20中投出19或20，则形成一次重击。
若被诅咒的目标死亡，你恢复等于你邪术师等级+你的魅力调整值（至少为1）的生命值。
你不能再次使用此特性，直到你完成了一次短休息或长休息。</t>
  </si>
  <si>
    <t>从6级开始，你可以诅咒一个命丧你手者的灵魂，暂时束缚它为你服务。
当你杀死一个类人生物，你可以让它的灵魂从尸体出现，成为一个缚灵，其数据见怪物手册。
当缚灵出现时，它获得等同于你邪术师等级一半的临时生命。
为缚灵的投掷先攻，它有自己的回合、服从你的口头命令，并获得特殊的命中加值，加值等于你的魅力调整值（最少0）。
缚灵一直为你服务中直到你的下一个长休息结束，然后它消失进入来世。
一旦你用这个特性唤起了一个缚灵，你就不能再次使用该能力直到你完成一次长休息。
缚灵：中等亡灵，混乱邪恶
AC：12（天生护甲）
HP：22（5d8）
速度：0尺，飞行50尺（盘旋）
力1（-5） 敏14（+2）体11（+0）智10（+0）感10（+0）魅11（+0）
伤害抗性：酸液，冰霜，火焰，闪电，音波；非魔法武器造成的挥砍、钝击和穿刺
伤害免疫：暗蚀，毒素
状态免疫：魅惑，力竭，束缚，麻痹，石化，中毒，倒地，被擒和昏迷
视野：黑暗视觉60尺，被动侦查10
语言：理解所有身前知道的语言但不会说
挑战等级：1（200XP）
无障碍移动：缚灵可以穿过其他生物移动就仿佛那是困难地形而已，如果回合结束它停在一个其他物体占据的格子里时受到5（1d10）点力场伤害。
阳光过敏：在阳光下，缚灵的攻击骰和基于视觉的感知检定处于劣势
行动
生命吸取：近战法术攻击：+4命中，5尺触及，单一生物。命中：10（3d6）暗蚀伤害。目标必须通过一个DC10的体质豁免或者最大生命下降等同于所受伤害的数值。这个效果持续到一个长休结束。若目标最大生命降为0或更低，则目标死亡。</t>
  </si>
  <si>
    <t>从1级起，你学会戏法维生术，并将它视作一个邪术师戏法。
你同时在对任何疾病的豁免上具有优势。
此外，不死生物将更难伤害你。
若有不死生物直接指定你为攻击或者有害法术的目标，这个生物必须进行一次感知豁免来对抗你的施法DC（但他不需要在使用包括你在内的区域能力时进行豁免，比如火球术）。
若失败，这个生物必须选择一个新的目标，如果他没有除你以外的目标可以选择则他失去这次法术或者攻击。
若他成功通过了豁免，或者你以他为目标进行攻击或者施放有害法术，那么这个不死生物在接下来24小时里对这个效果免疫。</t>
  </si>
  <si>
    <t>从14级起，你从你的宗主处窥探到一些有关于永恒的奥秘。
在你的回合，你可以使用一个附赠动作恢复1d8+邪术师等级的生命值。
此外，如果你在使用这个能力的同时把自己一部分被切断的躯体放置在断口处，那部分伤口将会愈合。
一旦你使用了这个能力，直到一次长/短休息之前你不能再次使用。</t>
  </si>
  <si>
    <t>当你学习一个邪术师法术时，你的巨灵宗主扩宽了你的可学习法术范围。
巨灵扩展法术表包含加入到了邪术师法术列表中的巨灵法术和与你的巨灵宗主类型相关的法术。
全巨灵—土巨灵—气巨灵—火巨灵—水巨灵
一环—侦测善恶—庇护术—雷鸣波—燃烧之手—云雾术
二环—魅影之力—荆棘丛生—造风术—灼热射线—朦胧术
三环—创造食粮—融身入石—风墙术—火球术—雪雨暴
四环—魅影杀手—塑石术—高等隐身术—火焰护盾—操控水体
五环—造物术—石墙术—伪装术—焰击术—寒冰锥
九环—许愿术—无—无—无—无</t>
  </si>
  <si>
    <t>从1级起，你的宗主赐予你一个包含巨灵之力的魔法器皿。
该器皿是一个微型物件，你可以将其作为施展你邪术师法术的法器。
你决定物件的类别，或者你可以通过巨灵器皿表来决定。
【巨灵器皿】：d6 器皿种类  
1 油灯 
2 瓮 
3 可装东西的戒指 
4 被塞住的瓶子 
5 空心小雕像 
6 华丽提灯 
当你触碰器皿时，你可以用以下方式使用它：</t>
  </si>
  <si>
    <t>在你的每个回合仅限一次，你可以在你攻击骰命中时对目标造成等同于你熟练加值的额外伤害。
伤害类型取决于你的宗主类型：钝击（土巨灵），雷鸣（气巨灵），火焰（火巨灵），冷冻（水巨灵）。
器皿的AC等同于你的法术豁免DC，它的生命值等于你的邪术师等级加熟练加值，并免疫于毒素和心灵伤害。
倘若器皿被摧毁或是丢失，你可以进行一场持续1小时的仪式来从你的宗主处获得一个替代品。
这一仪式可于短休或长休时进行，并会摧毁之前仍存在的器皿。
当你死亡时，器皿在一阵元素能量的闪耀中消失。</t>
  </si>
  <si>
    <t>你已经浸没于和深渊的契约，你现在可以汲取整个大洋，水元素位面或者其他的异界海洋的无尽力量。
你的宗主仅仅是想利用你去了解陆地，或者它希望你打开深海的阀门去淹没整个世界？
也许你生为祂的信徒，你的家族世代崇拜深海宗主和祂眷族。
或者你曾经遭遇海难，在溺死的边缘被你的宗主所拯救，祂给了你生存的机会。
不管你为何和祂缔结契约，大海和它那未知的深渊听从你的召唤。
能够赋予邪术师力量的深渊存在包括克拉肯们（泛指神话中的海妖），古老的元素生物，寇涛鱼人神话幻想中的存在，人鱼半神和海鬼婆集会。</t>
  </si>
  <si>
    <t xml:space="preserve">当你学习一个邪术师法术时，你的深海宗主赐予你将以下法术加入邪术师法术列表进行选择的权力。
法术环阶 法术 
一环 造水/枯水术，雷鸣波 
二环 造风术，沉默术 
三环 闪电束，雪风暴 
四环 操控水体，元素生物召唤术（仅限水元素，该法术出自第三章） 
五环 毕格比之手(以触手的形式出现)，寒冰锥 </t>
  </si>
  <si>
    <t>从1级起，你可以以魔法的形式召唤一根幽灵触手攻击你的敌人。
在你60尺的可视范围内，你可以以一个附赠动作创造一根10尺长的触手。
这根触手可以持续一分钟，或于你使用该能力创造另一根触手时终止。
当你创造触手后，你可以对其10尺内的目标进行一次近战法术攻击。
目标受到1d8寒冷伤害，且直到你的下一回合，目标速度降低10尺，当你达到邪术师10级时，造成的伤害提高至2d8。
在你的回合中，你可以使用一个附赠动作将触手移动至多30尺并重复以上攻击。
你可召唤的触手的次数等于你的熟练加值，且可以在结束长休之后恢复所有使用次数。</t>
  </si>
  <si>
    <t>从6级起，你的深海触手可以保护你和其他人，用自己将你们和危险隔开。
当你或你可以看见的一个位于触手10尺内的生物承受伤害时，你可以使用反应选择这些生物中的一个并使该生物遭受的伤害减少1d8，当你达到邪术师10级时，触手可以抵消的伤害增加到2d8。</t>
  </si>
  <si>
    <t>从10级起，你获得法术艾伐黑触手。
它对你来说是一个邪术师法术，但是它并不算作你已知的法术数量。
你可以在不消耗法术位的情况下使用该法术一次，且该能力于你完成一次长休后恢复。
每当你使用这个法术，祂的魔力鼓舞着你，并且赐予你和你邪术师等级一致的临时生命值。
此外，对你的伤害并不会破坏你对于该法术的专注。</t>
  </si>
  <si>
    <t>• 指定一个职业：吟游诗人、牧师、德鲁伊、术士、邪术师、法师。你从指定职业法术列表里习得两个戏法。
• 此外，你从相同列表里选择习得一个1环法术。以该方式习得的法术只可以用其最低环法术位来施展，而以该方式施展后的该1环法术必须完成一次长休后，才能再次以该方式施展。
• 这些法术的施法关键属性取决于你指定的职业：吟游诗人、术士、邪术师用魅力；牧师、德鲁伊用感知；法师用智力。</t>
  </si>
  <si>
    <t>先决条件：智力或感知为13或更高
• 你习得一些可以用于仪式施法的法术。这些法术会记载在一本仪式书上，你进行仪式施法时必须手持这本仪式书。
• 当你选择该专长时，你获得一本记载了两个自选1环法术的仪式书。从吟游诗人、牧师、德鲁伊、术士、邪术师、法师中选择一个职业。你所选法术必须在所选职业的法术列表里，且所选法术必须有仪式标签。你所选的职业同样决定了这些法术的施法关键属性：吟游诗人、术士、邪术师用魅力；牧师、德鲁伊用感知；法师用智力。
• 当你获得了一份书写形式的法术时（比如法术卷轴spell scroll或法师的法术书），你可以将其法术添加进你的仪式书里。被添加的法术必须在你所选职业的法术列表里，且该法术环阶不能高于你等级的一半（向上取整），而该法术还必须带有仪式标签。将该法术抄进你的仪式书必须消耗每环2小时时间和50gp的金钱。该消耗即是你研究掌握该法术所消耗的材料成分和抄写进仪式书所用的优质墨水等的开销。</t>
  </si>
  <si>
    <t>你学会如何操控特定的法术进行攻击，并获得下列增益：
• 当你施展需要进行攻击检定的法术时，则该法术的施法距离加倍。
• 你的远程法术攻击忽视半身掩护和四分之三掩护状态。
• 你习得一个需要进行攻击检定的戏法。从吟游诗人、牧师、德鲁伊、术士、邪术师、法师中选择其一，并从其相应的法术列表里选择该戏法。你施展该戏法的施法关键属性取决于你选择的职业：吟游诗人、术士、邪术师用魅力；牧师、德鲁伊用感知；法师用智力。
先决条件：至少可以施展一个法术</t>
  </si>
  <si>
    <t>你在自己回合内执行攻击动作时，可以放弃一次攻击并使用附赠动作指挥一名盟友发动奇袭。
使用此战技时，你消耗一粒卓越骰，并指定一名能看见你或能听到你声音的盟友。所选盟友可以立即使用反应发动一次武器攻击，并将消耗的卓越骰加在此次攻击的伤害掷骰中。</t>
    <phoneticPr fontId="49" type="noConversion"/>
  </si>
  <si>
    <t>你以武器攻击命中敌人时，可消耗一粒卓越骰以尝试缴械目标，使其丢弃手中持握的一件物品。
使用此战技时，你将消耗的卓越骰加在此次攻击的伤害掷骰中，并迫使目标必须进行一次力量豁免。豁免失败则其丢弃手中持握的一件物品（由你选择）。被丢弃的物品将掉落在该生物脚下。</t>
    <phoneticPr fontId="49" type="noConversion"/>
  </si>
  <si>
    <t>你以武器攻击命中敌人时，可以消耗一粒卓越骰以扰乱该目标，让你的盟友有机可乘。
使用此战技时，你将消耗的卓越骰加在此次攻击的伤害掷骰中。此后直至你下一回合开始，下一次由除你之外的生物对目标发动的攻击检定具有优势。</t>
    <phoneticPr fontId="49" type="noConversion"/>
  </si>
  <si>
    <t>你在移动时，可以消耗一粒卓越骰，并将其加入你的AC中，直至你完成移动。</t>
    <phoneticPr fontId="49" type="noConversion"/>
  </si>
  <si>
    <t>你可以在自己回合内消耗一粒卓越骰，以此指定你身边5尺范围内一个生物为目标，并使用附赠动作对其虚晃一招。
你在本回合内对该生物发动的下一次攻击检定具有优势。如果该攻击命中，则将消耗的卓越骰加在此次攻击的伤害掷骰中。</t>
    <phoneticPr fontId="49" type="noConversion"/>
  </si>
  <si>
    <t>你以武器攻击命中敌人时，可以消耗一粒卓越骰以尝试挑衅该目标。
使用此战技时，你将所消耗的卓越骰加在此次攻击的伤害掷骰中，并迫使目标进行一次感知豁免。豁免失败者攻击除你之外的生物时，其进行的攻击检定具有劣势，直至你的下一回合结束。</t>
    <phoneticPr fontId="49" type="noConversion"/>
  </si>
  <si>
    <t>你在自己回合内发动近战武器攻击时，可以消耗一粒卓越骰并令该攻击的触及范围增加５尺。如果该攻击命中，则将所消耗的卓越骰加在此次攻击的伤害掷骰中。</t>
    <phoneticPr fontId="49" type="noConversion"/>
  </si>
  <si>
    <t>你以武器攻击命中敌人时，可以消耗一粒卓越骰以让盟友移动到更有利的位置。
使用此战技时，你将所消耗的卓越骰加在此次攻击的伤害掷骰中，并指定一个能看见你或听到你声音的盟友。该盟友可以立即用其反应移动至多等于其速度一半的距离。本次移动不会引发本次所攻击目标的借机攻击。</t>
    <phoneticPr fontId="49" type="noConversion"/>
  </si>
  <si>
    <t>你以武器攻击命中敌人时，可消耗一粒卓越骰以尝试恐吓该目标。
使用此战技时，你将所消耗的卓越骰加在此次攻击的伤害掷骰中，并迫使目标进行一次感知豁免。豁免失败者将陷入对你恐慌的状态，直至你下一回合结束。</t>
    <phoneticPr fontId="49" type="noConversion"/>
  </si>
  <si>
    <t>其他生物的近战攻击对你造成伤害时，你可以用反应消耗一粒卓越骰以减少伤害。减少的数值为卓越骰骰值＋你的敏捷调整值。</t>
    <phoneticPr fontId="49" type="noConversion"/>
  </si>
  <si>
    <t>你进行武器攻击时，可以消耗一粒卓越骰以将其结果加在本次攻击的攻击检定中。你可以在进行攻击检定之前或之后使用此战技，不过必须在相应攻击效果生效之前作决定。</t>
    <phoneticPr fontId="49" type="noConversion"/>
  </si>
  <si>
    <t>你以武器攻击命中敌人时，可以消耗一粒卓越骰以尝试将该目标推开。
使用此战技时，你将所消耗的卓越骰加在此次攻击的伤害掷骰中。如果该目标为大型或更小体型，则其必须进行一次力量豁免。豁免失败者将被往远离你的方向推动至多15尺。</t>
    <phoneticPr fontId="49" type="noConversion"/>
  </si>
  <si>
    <t>你在自己回合内可以使用一个附赠动作并消耗一粒卓越骰以鼓舞一名盟友的士气。
选择一名能看见你或听到你声音的盟友，并使其获得数量等于卓越骰结果＋你的魅力调整值的临时生命值。</t>
    <phoneticPr fontId="49" type="noConversion"/>
  </si>
  <si>
    <t>当某生物对你发动近战攻击而未命中时，你可以使用反应并消耗一粒卓越骰对其发动一次近战武器攻击。如果该攻击命中，则将卓越骰加在此攻击的伤害掷骰中。</t>
    <phoneticPr fontId="49" type="noConversion"/>
  </si>
  <si>
    <t>你以近战武器攻击命中敌人时，可以消耗一粒卓越骰以尝试连带伤害附近的另一个生物。
使用此战技时，指定你触及范围内一个距离初始目标不超过5尺的生物。如果你原本的攻击检定足以命中第二个目标，则它将受到等同于你卓越骰结果的伤害。此伤害与你原本攻击的伤害类型相同。</t>
    <phoneticPr fontId="49" type="noConversion"/>
  </si>
  <si>
    <t>你以武器攻击命中敌人时，可以消耗一粒卓越骰以尝试击倒该目标。
使用此战技时，你将所消耗的卓越骰加在此次攻击的伤害骰中。如果该目标为大型或更小体型，则其必须进行一次力量豁免。豁免失败则其应击倒地。</t>
    <phoneticPr fontId="49" type="noConversion"/>
  </si>
  <si>
    <t>当你进行一次敏捷（隐匿）检定或先攻检定时，你可以消耗一枚卓越骰，并将消耗的卓越骰加入本次检定中。</t>
    <phoneticPr fontId="49" type="noConversion"/>
  </si>
  <si>
    <t>在你自己的回合中，若你身旁有某个盟友处于你周围5尺范围内，你就能够消耗一枚卓越骰并消耗至少5尺的移动力，来与那个盟友互换位置，这次移动不会引发借机攻击。
投掷那枚被消耗的卓越骰。直到你的下个回合开始前，你或被互换位置的另一生物（由你选择）的AC获得等于卓越骰结果的加值。</t>
    <phoneticPr fontId="49" type="noConversion"/>
  </si>
  <si>
    <t>当一个生物移动进你的触及范围而你手握武器时，你能以一个反应消耗一枚卓越骰对该生物进行一次武器攻击。如果攻击命中，将消耗的卓越骰加入此次攻击的伤害掷骰中。</t>
    <phoneticPr fontId="49" type="noConversion"/>
  </si>
  <si>
    <t>当你在一次近战武器攻击命中一个生物时，你能够立即消耗一枚卓越骰，以一个附赠动作对目标进行一次擒抱（见玩家手册的擒抱规则）。将消耗的卓越骰加入你的力量（运动）检定中。</t>
    <phoneticPr fontId="49" type="noConversion"/>
  </si>
  <si>
    <t>以一个附赠动作，你能消耗一枚卓越骰以一件具有投掷属性的武器进行一次远程攻击。在进行此攻击时，你能拔出一把投掷武器作为攻击的一部分。如果此次攻击命中，你能将消耗的卓越骰加入此次攻击的伤害掷骰中。</t>
    <phoneticPr fontId="49" type="noConversion"/>
  </si>
  <si>
    <t>从你选择该结社的第2级起，你可以在自己回合内用一个附赠动作而不是动作来使用荒野形态特性。
此外，在你荒野形态变形期间，你可以用附赠动作消耗一个法术位来恢复相应法术位每环阶1d8点生命值。</t>
    <phoneticPr fontId="49" type="noConversion"/>
  </si>
  <si>
    <t>在1级时，你获得了操控生死之线的能力。当你使用法术，投掷一枚或多枚骰子用于恢复生命值为0的生物的生命时，你的每粒治疗骰子都被视为骰出了满值。
此外，你习得戏法 维生术spare the dying ，其不计入你已知的牧师戏法数中。对你来说，此戏法具有30尺的施法范围，且你可以选择用附赠动作来施展它。</t>
    <phoneticPr fontId="49" type="noConversion"/>
  </si>
  <si>
    <t>在第1级，你获得偶尔可以意识到不死生物存在的能力。以一个动作，你可以伸张意识来魔法性地侦测周遭的不死生物。直到你的下回合结束前，你可以知晓周围60尺范围内的任何未处于全掩护之下或是没有被预言魔法保护的不死生物。这一感官并不会告诉你生物的能力与身份。
你可以使用此特性的次数等同于你的感知调整值次（至少1次），在你完成一次长休后你重获全部已被消耗的使用次数。</t>
    <phoneticPr fontId="49" type="noConversion"/>
  </si>
  <si>
    <t>从你2级开始，你可以使用你的引导神力来标记敌人，让他们的生命力走向衰亡。
以一个动作，你向你周围30尺内的一个可见生物降下诅咒。诅咒持续直到你下回合结束，在这期间，被诅咒的生物下一次被你或你的盟友的攻击命中时，它将对那次攻击的所有伤害具有易伤，之后，诅咒终止。</t>
    <phoneticPr fontId="49" type="noConversion"/>
  </si>
  <si>
    <t>死之门的哨卫</t>
    <phoneticPr fontId="49" type="noConversion"/>
  </si>
  <si>
    <t>从6级开始，你获得了阻碍死亡不发的能力。作为一个反应，当你或你30尺内的可见盟友承受了一次重击时，你可以将其转变为一次普通命中。且所有由那次重击引起的效应全部取消。
你可以使用此特性的次数等同于你的感知调整值次（至少一次），在你完成一次长休后你重获全部已被消耗的使用次数</t>
    <phoneticPr fontId="49" type="noConversion"/>
  </si>
  <si>
    <t>第8级起，你施展牧师戏法造成伤害时，可以再加上你的感知调整值。</t>
    <phoneticPr fontId="49" type="noConversion"/>
  </si>
  <si>
    <t>引魂明灯</t>
    <phoneticPr fontId="49" type="noConversion"/>
  </si>
  <si>
    <t>从17级开始，你可以抓住游魂，摄取它的微少生命力来治疗活者的生命。当你周围60尺范围内你可见的敌人死亡时，你或由你选择的你周围60尺内的一个生物可以恢复等同于那个死亡敌人生命骰数量点的生命值。你只有未处于 失能Incapacitated 状态的情况下才能使用此特性。一旦你使用了此特性，直到你下回合开始前你无法再次使用它。</t>
    <phoneticPr fontId="49" type="noConversion"/>
  </si>
  <si>
    <t>神圣干预</t>
    <phoneticPr fontId="49" type="noConversion"/>
  </si>
  <si>
    <t>第3级选择本宗派起，你开始学习操控元素的法门。每种法门在使用时都需要消耗气。
你会先习得元素同调法门和另一个自选法门，所有法门具体见下。你将在第6、第11、第17级时，将各习得一个新法门。
你每次习得新的法门时，还可以将一个你已知的法门替换为另一个符合选择条件的法门。
施放元素法术：某些法门让你可施展法术。通过法门施法也适用正常的施法时间和其它规则，只是你不需要提供材料成分。
第5级起，你可以通过消耗额外的气来提升以法门施展法术的环阶，使得法术更具威力。每额外消耗1点气，法术环阶就提升1级。例如，作为一名5级武僧，你通过飞炎击法门来施展法术燃烧之手。则此时你可以消耗3点气来施展2环的燃烧之手（该法门的基本消耗2加上额外消耗1）。
你以该方式施展法术可消耗气的数量上限如上表（该消耗上限包括法门的基本消耗加上额外消耗），其具体情况与你的武僧等级相关联。
气与法术
武僧等级——施法最高气消耗量
5th~8th——3
9th~12th——4
13th~16th——5
17th~20th——6</t>
    <phoneticPr fontId="49" type="noConversion"/>
  </si>
  <si>
    <t>寒冬之息</t>
    <phoneticPr fontId="49" type="noConversion"/>
  </si>
  <si>
    <t>你可以消耗6点气施展法术寒冰锥。（需17级）</t>
    <phoneticPr fontId="49" type="noConversion"/>
  </si>
  <si>
    <t>北风之握</t>
    <phoneticPr fontId="49" type="noConversion"/>
  </si>
  <si>
    <t>你可以消耗3点气施展法术人类定身术。（需6级）</t>
    <phoneticPr fontId="49" type="noConversion"/>
  </si>
  <si>
    <t>元素同调</t>
    <phoneticPr fontId="49" type="noConversion"/>
  </si>
  <si>
    <t>你可以用动作短暂操控身边30尺内的元素之力，并产生下列效应之一：
• 用土、水、气、火创造一次无害的瞬间视听效应，比如火花闪现、清风吹拂、青雾飘散、岩石轰隆。
• 瞬间点燃或吹熄蜡烛，火炬或小型营火。
• 加热或降温至多1磅无生命的物质，至多持续1小时。
• 将土，水，雾或火按照你的心意塑形成至多1尺立方的粗糙形状，至多持续1分钟。</t>
    <phoneticPr fontId="49" type="noConversion"/>
  </si>
  <si>
    <t>苍山庇佑</t>
    <phoneticPr fontId="49" type="noConversion"/>
  </si>
  <si>
    <t>你可以消耗5点气对自身施展石肤术。（需17级）</t>
    <phoneticPr fontId="49" type="noConversion"/>
  </si>
  <si>
    <t>你在自己回合内执行攻击动作时，可以消耗1点气使得火焰触须从四肢喷涌而出。在本回合余下时间里，你进行徒手打击时的触及范围增加10尺。
而这些攻击造成的伤害变为火焰伤害，而非钝击伤害。若在攻击命中时再消耗1点气，则该次攻击还可额外造成1d10的火焰伤害。</t>
    <phoneticPr fontId="49" type="noConversion"/>
  </si>
  <si>
    <t>你可以将大气凝聚成拳进行打击。作为一个动作，你可以消耗2点气并指定一个在你身边30尺内的生物。
该生物必须进行一次力量豁免，豁免失败者将受到3d10点钝击伤害，此外你每额外消耗1点气则再增加1d10点钝击伤害，并且可以将目标从远离你的方向推开至多20尺再使其倒地。豁免成功则伤害减半，且不会被推离和击倒。</t>
    <phoneticPr fontId="49" type="noConversion"/>
  </si>
  <si>
    <t>凤凰烈焰</t>
    <phoneticPr fontId="49" type="noConversion"/>
  </si>
  <si>
    <t>你可以消耗4点气施展火球术。（需11级）</t>
    <phoneticPr fontId="49" type="noConversion"/>
  </si>
  <si>
    <t>狮吼功</t>
    <phoneticPr fontId="49" type="noConversion"/>
  </si>
  <si>
    <t>你可以消耗3点气施展粉碎音波。（需6级）</t>
    <phoneticPr fontId="49" type="noConversion"/>
  </si>
  <si>
    <t>云雾势</t>
    <phoneticPr fontId="49" type="noConversion"/>
  </si>
  <si>
    <t>你可以消耗4点气对自身施展气化形体。（需11级）</t>
    <phoneticPr fontId="49" type="noConversion"/>
  </si>
  <si>
    <t>攀云步</t>
    <phoneticPr fontId="49" type="noConversion"/>
  </si>
  <si>
    <t>你可以消耗4点气对自身施展飞行术。（需11级）</t>
    <phoneticPr fontId="49" type="noConversion"/>
  </si>
  <si>
    <t>噬焰流</t>
    <phoneticPr fontId="49" type="noConversion"/>
  </si>
  <si>
    <t>你可以消耗5点气施展火墙术。（需17级）</t>
    <phoneticPr fontId="49" type="noConversion"/>
  </si>
  <si>
    <t>作为一个动作，你可以消耗1点气并指定你周边120尺内一块不大于30尺的冰或水的区域。你可以将该区域内的水凝为冰，反之亦可，并且还可以将区域内的冰塑造成任意的形状。你可以提高或降低冰的高度，创造或填平沟壑，竖起或放倒冰墙，或是塑造一根冰柱。这些造型的最大尺寸不能超过该区域最大边长的一半。
例如，假设你影响一块30尺的方状区域，你可以竖起的冰柱高度至多为15尺，提升或降低区域内总体高度至多15尺，创造的沟壑最深15尺，等等。你不能通过塑形冰来困住或伤害区域内的生物。</t>
    <phoneticPr fontId="49" type="noConversion"/>
  </si>
  <si>
    <t>你可以用一个动作消耗2点气创造一根水鞭推拉目标使其失去平衡。指定你周边30尺区域内一个你能看见的生物，并迫使其进行一次敏捷豁免。
豁免失败者将受到3d10点钝击伤害，此外你每额外消耗1点气则再增加1d10点钝击伤害，且你可以使目标倒地或者将其向你的方向拉近至多25尺。豁免成功则伤害减半，且不会被拉近和击倒。</t>
    <phoneticPr fontId="49" type="noConversion"/>
  </si>
  <si>
    <t>滚石流</t>
    <phoneticPr fontId="49" type="noConversion"/>
  </si>
  <si>
    <t>你可以消耗6点气施展石墙术。（需17级）</t>
    <phoneticPr fontId="49" type="noConversion"/>
  </si>
  <si>
    <t>你带着原初的狂怒作战。你可以在自己回合内以一个附赠动作进入狂暴。
 狂暴持续期间，只要你未着装重甲就获得以下增益：
• 你进行力量检定和力量豁免时具有优势。
• 你用力量值发动近战武器攻击时的伤害掷骰获得加值。此加值随你的野蛮人等级提升而增加，具体见“野蛮人职业表”中“狂暴伤害”一栏。
• 你拥有钝击，穿刺和挥砍伤害的抗性。
拥有施法能力的角色无法在狂暴持续期间施展法术或进行法术专注。
你的狂暴状态维持1分钟。如果你在狂暴其间陷入昏迷，或者，如果你从自己上回合结束开始到本回合结束时都未攻击任何敌对生物也未受到伤害，则狂暴提前结束。你也可以在自己回合里以一个附赠动作主动结束狂暴状态。
 “野蛮人职业表”中根据你的野蛮人等级给出了相应的狂暴次数。如果你用光了这些次数，则必须完成一次长休才能再次使用狂暴。</t>
    <phoneticPr fontId="49" type="noConversion"/>
  </si>
  <si>
    <t>未着装任何护甲时，你的AC等于10＋你的敏捷调整值＋你的体质调整值。使用盾牌不会影响你从此特性获益。</t>
    <phoneticPr fontId="49" type="noConversion"/>
  </si>
  <si>
    <t>第2级起，你可以抛弃一切防御的执念进行狂乱的攻击。你在自己回合内发动第一次攻击时，可以选择发动鲁莽攻击。
使用此特性后，你本回合内所有使用力量值发动的近战武器攻击具有优势。此后，所有对你发动的攻击检定也将具有优势，且该优势持续存在至你的下个回合。</t>
    <phoneticPr fontId="49" type="noConversion"/>
  </si>
  <si>
    <t>第2级时，你获得对周遭异常情况超乎寻常的感测力，让你能先一步脱离危险。
在受到你能看见的效应（诸如陷阱和法术）影响时，你对其进行的敏捷豁免具有优势。你无法在目盲、耳聋或是失能的状态下从此特性获益。</t>
    <phoneticPr fontId="49" type="noConversion"/>
  </si>
  <si>
    <t>第7级时，你的直觉变的异常敏锐，从而使你骰先攻时具有优势。
此外，如果你在战斗开始时被突袭但并未陷入失能，则你仍可以在你的第一回合正常行动。不过你必须在进行任何其它行动前进入狂暴。</t>
    <phoneticPr fontId="49" type="noConversion"/>
  </si>
  <si>
    <t>作为你进入狂暴状态的附赠动作的一部分，你可以移动一段等同于你速度的一半的距离。</t>
    <phoneticPr fontId="49" type="noConversion"/>
  </si>
  <si>
    <t>第11级起，狂暴的力量让你即使身受重伤也能持续战斗。
狂暴期间，若你的生命值被降至0但未立即死亡，你可以进行一次DC10的体质豁免。豁免成功则你的生命值改为降至1。
第一次使用此特性后，每当你再次使用此特性时其体质豁免DC提高5。在你完成一次短休或长休后其DC重置为10。</t>
    <phoneticPr fontId="49" type="noConversion"/>
  </si>
  <si>
    <t xml:space="preserve">从你第3级选择此道途起，你可以在进入狂暴的同时进入狂怒。
使用此特性时，你可以在本回合之后狂暴持续时间内的每个回合里，以一个附赠动作发动一次近战武器攻击。而当本次狂暴终止时，你将提升一级力竭。 </t>
    <phoneticPr fontId="49" type="noConversion"/>
  </si>
  <si>
    <t>第10级起，你可以用一个动作展示自己的可怖姿态来恐吓他人。指定30尺内一个你能看见的生物。如果该生物能看见你或听见你的声音，则其必须进行一次感知豁免（DC为8＋你的熟练加值＋你的魅力调整值），豁免失败者将因此而陷入恐慌，并持续至你的下回合结束。在接下来的回合里，你可以通过使用动作来延长此效应的持续时间，使之持续至你此后一回合结束。如果该生物在结束其回合时离开你的视线范围，或是离开你60尺外，则此效应提前终止。
如果此生物成功通过此豁免，则你在随后的24小时内无法对该生物使用此特性。</t>
    <phoneticPr fontId="49" type="noConversion"/>
  </si>
  <si>
    <t xml:space="preserve">在你选择此道途的第3级时，选择一项图腾精魄并获得其能力。你必须制造或获取一个象征图腾兽其毛，羽，爪，牙或骨的图腾物件，可以是项链，也可以是其他类似的物件。如果你愿意，你的外貌也会发生些微改变，让人看到时不由得联想起你的图腾精魄。例如，如果选择熊的图腾精魄，你可能变得毛发旺盛，皮肤粗厚；如果选择雕的图腾精魄，你的眼睛可能变成明亮的黄色。
你可选择下表中的动物，或是其他更适合你故乡环境的类似动物。例如，你可以用鹰hawk或秃鹫vulture代替雕eagle。
• 熊：狂暴时，你获得对心灵伤害之外任何伤害类型的抗性。熊之精魄令你坚韧无匹，无惧于任何打击。
• 雕：狂暴时，如果你未着装重甲，则其他生物在对你进行借机攻击时进行的攻击检定具有劣势。另外，你在自己回合内可以用附赠动作执行疾行动作。雕之精魄让你成为在战场中自由穿梭的猎杀者。
• 狼：狂暴时，如果你周围５尺范围内有任何敌对生物，则你的盟友对这些生物发动近战攻击时的攻击检定具有优势。狼之精魄让你成为猎手中的领袖。
这些选项可以在你3级选择图腾动物时选择。
 和《玩家手册》中的精魂一样，这里的选项需要一个与你图腾动物相关的物品，同时你也可能在相貌外形上与你的图腾精魂相似。例如如果你的图腾精魂是麋鹿，则你会有一个大鼻子；如果你的图腾精魂是老虎，则你的眼睛可能长的和猫类似。
此外，你的图腾精魂可能是一种更适合你生长的地方的动物，例如一匹马或者鹿来代替麋鹿，一只狮子或者豹或者其他大型猫科动物来代替老虎。
• 鹿Elk。狂暴期间，若你未着重甲，你的步行速度增加15尺。鹿之精魂的庇佑使你格外迅捷。
• 虎Tiger。狂暴期间，你增加10尺的跳跃距离和3尺的跳高距离。虎之精魂赋予你飞跃的能力。 </t>
    <phoneticPr fontId="49" type="noConversion"/>
  </si>
  <si>
    <t>第10级起，你获得施展法术问道自然Commune with Nature的能力，但你只能以仪式的方式施展它。施展此法术时，你所选的图腾兽会以精魄形态现身并提供你想要得到的那些信息。</t>
    <phoneticPr fontId="49" type="noConversion"/>
  </si>
  <si>
    <t>你追求融入自然之道，与动物为友。在你选择此道途的第3级起，你获得施展法术野兽知觉beast sense与动物交谈speak with animals的能力，但你只能以仪式的方式施展它们。</t>
    <phoneticPr fontId="49" type="noConversion"/>
  </si>
  <si>
    <t>从你在3级选择此道途开始，你可以引导神性怒火，将其注入你的武器打击中。
狂暴期间，你在每个自己回合中用武器攻击命中的第一个生物会受到等同于1d6+你野蛮人等级的一半的额外伤害。此伤害的类型为黯蚀或光耀；你在你得到此特性时选择它的类型。</t>
    <phoneticPr fontId="49" type="noConversion"/>
  </si>
  <si>
    <t>第3级起，你的灵魂被无尽的战斗所烙印。若一个法术只具有让你起死回生（而非令你变为不死生物）的效果，例如法术 死者复活raise dead ，则施法者在对你施展这一法术时不需要材料成分。</t>
    <phoneticPr fontId="49" type="noConversion"/>
  </si>
  <si>
    <t>第6级起，驱使你愤怒的神力也能庇护你免遭干扰。
狂暴期间，若你豁免检定失败，你可以重新投掷该豁免检定，但你必须接受重骰后的结果。你每次狂暴中只能使用此能力一次。</t>
    <phoneticPr fontId="49" type="noConversion"/>
  </si>
  <si>
    <t>第10级起，你学会了引导神力，让其他人也被你的狂热所感染。以一个附赠动作，你愤怒的怒吼并释放出一道蕴含神圣能量的战吼。选择你周围60尺范围内至多10个能听到你吼叫声的其他生物，直到你的下个回合开始前，他们进行的攻击检定与豁免检定获得优势。
一旦你使用了此特性，直到你完成了一次长休为止你都不能再次使用它。</t>
    <phoneticPr fontId="49" type="noConversion"/>
  </si>
  <si>
    <t>从14级开始，驱使你狂暴的神力允许你忽视致命的打击。
狂暴期间，具有0点生命值并不会使你陷入 昏迷Unconscious 。不过你仍然需要进行死亡豁免，你在0生命值下受到伤害时依旧计算豁免失败次数。然而，若你因为未通过死亡豁免检定而即将死去时，只要你仍处于狂暴状态，你将拒绝死亡。而如果你的狂暴结束后你仍保持0点生命值，那么你将死亡。</t>
    <phoneticPr fontId="49" type="noConversion"/>
  </si>
  <si>
    <t>从你在3级时选择此道途开始，你进入狂暴时一名精魂战士将出现在你身旁。狂暴期间，在每个你的回合中你攻击命中的第一个生物将成为这名精魂战士的目标，战士将阻挠目标对它人的攻击。直到你的下一个回合开始前，战士的目标对你以外的目标发动的攻击检定具有劣势，而若其在一次攻击中击中了除你以外的生物，该生物对那次攻击的伤害具有抗性。你的狂暴结束时，此效果也随之提前结束。</t>
    <phoneticPr fontId="49" type="noConversion"/>
  </si>
  <si>
    <t>从6级开始，卫士之魂会帮助你为你的盟友提供超自然保护。
狂暴期间，若一个处于你周围30尺内的、你能看到的其他生物受到伤害时，你可以用反应来为其降低2d6点的伤害。
当你此职业上达到特定等级后，你将可以减免更多的伤害：10级后3d6，14级后4d6。</t>
    <phoneticPr fontId="49" type="noConversion"/>
  </si>
  <si>
    <t>第10级起，你获得了和你的先祖之魂进行交流的能力。当你想这么做时，你可以施展 卜筮术Augury 或 鹰眼术Clairvoyance ，且无需法术位与材料成分。这两个法术的施法属性为感知。以此施展的 鹰眼术Clairvoyance 中，作为法术描述中提及的球形探测器的代替，这个法术会在指定位置创造一个无形的先祖之魂。
一旦你使用这个特性施展了上述两者之一，直到你完成一次短休或长休为止你都不能再次使用这一特性。</t>
    <phoneticPr fontId="49" type="noConversion"/>
  </si>
  <si>
    <t>第14级起，你的先祖之魂变得强大到足以打击伤害你所保护之人的敌人。当你使用 精魂之盾Spirit Shield 保护生物、降低一次攻击的伤害时，攻击者还将受到精魂之盾所降低伤害等量的力场伤害。</t>
    <phoneticPr fontId="49" type="noConversion"/>
  </si>
  <si>
    <t>风暴灵光</t>
    <phoneticPr fontId="49" type="noConversion"/>
  </si>
  <si>
    <t>自3级起，在你狂暴期间，你会散发出一阵魔法性的灵光。它以你为中心向四周延展10尺，灵光无法穿透全掩护。
这一灵光在你进入狂暴时会激活一种效应，而你在后续的每个自己的回合中也可以用一个附赠动作再次来激活该效应。从以下三种环境中选择其一，你选择的环境类型将决定你灵光激活时会产生的效应。每当你此职业的等级获得提升时，你可以更换你选择的环境。
如果你灵光的效应需要生物进行豁免，其豁免DC等同于 8+你的熟练加值+你的体质调整值。
• 荒漠Desert。此效应激活时，你的灵光中所有其他生物都会受到2点火焰伤害。当你在这个职业达到特定等级后，这一灵光的伤害将增加：在5级后变为3点，10级后4点，15级后5点，20级后6点。
• 海洋Sea。当这个效果被激活时，你可以选择一个处于灵光中且你能看到的其他生物。目标必须通过一次敏捷豁免，豁免失败受到1d6闪电伤害，豁免成功则只受半数伤害。当你在这个职业达到特定等级后，这一灵光的伤害将增加：10级后变为2d6，15级后3d6，20级后4d6。
• 冻原Tundra。当这个效果被激活时，寒冰精魂加护于灵光中每个你选择的生物，令他们得以忍受伤害。它们获得2点临时生命值。当你在这个职业达到特定等级后，这一灵光给予的临时生命值将增加：在5级后变为3点，10级后变为4点，15级后变为5点，20级后变为6点。</t>
    <phoneticPr fontId="49" type="noConversion"/>
  </si>
  <si>
    <t>第6级起，不论你是否散发着灵光，风暴都能为你带来增益。这一增益效果基于你在 风暴灵光Storm Aura 特性中所选择的环境类型。
• 荒漠Desert。你获得火焰伤害的抗性，且不会受到 炎热Extreme Heat 的效应影响（其记载于《城主手册》中）。此外，你可以以一个动作，触碰一个未被他人穿戴或携带的易燃物体来点燃它。
• 海洋Sea。你获得闪电伤害的抗性，与在水下呼吸的能力。你还将获得30尺的游泳速度。
• 冻原Tundra。你获得冷冻伤害的抗性，且不会受到 严寒Extreme Cold 的效应影响（其记载于《城主手册》中）。此外，你可以以一个动作，触碰水体并将5尺立方的水冻结成冰，这种冰将会在1分钟后融化。如果该立方空间中有任何生物，这一动作将会失败。</t>
    <phoneticPr fontId="49" type="noConversion"/>
  </si>
  <si>
    <t>第10级起，你学会了运用你对风暴的掌控力来保护你的盟友。处于你灵光内的、由你选择的生物也将同样受益于你 风暴之魂 Storm Soul 特性所带来的伤害抗性。</t>
    <phoneticPr fontId="49" type="noConversion"/>
  </si>
  <si>
    <t>第14级起，你能引导的风暴之力变得更加强大，足以打击你的敌人。你获得基于你在 风暴灵光Storm Aura 特性中所选择的环境类型的增益：
• 荒漠Desert。当处于你灵光中的生物在一次攻击命中你后，你可以立刻用你的反应迫使该生物进行一次敏捷豁免。豁免失败则受到等同于你野蛮人等级半数点火焰伤害。
• 海洋Sea。任何处于你灵光中的生物若被你以一次攻击击中，你可以用你的反应迫使该生物进行一次力量豁免。豁免失败时，它将如同被波浪拍打般应击 倒地Prone。
• 冻原Tundra。每当你激活你的 风暴灵光Storm Aura 时，你可以选择一个处于灵光里的你可见的生物。该生物必须通过一次力量豁免。豁免失败时，魔法的冰霜将它覆盖，使其速度降为0，持续直至你的下一个回合开始。</t>
    <phoneticPr fontId="49" type="noConversion"/>
  </si>
  <si>
    <t>只有矮人才可以选择战狂道途。在矮人的社会和文化中战狂占据了一个特殊的位置。
你的DM可以调整这一规则使之更符合战役。</t>
    <phoneticPr fontId="49" type="noConversion"/>
  </si>
  <si>
    <t>从3级起，你得到将钉刺甲作为武器使用的能力。
当你穿着钉刺甲并在狂暴中，你可以使用你的附赠动作用钉刺甲对5尺内的目标进行一次近战武器攻击。若攻击命中，钉刺将造成1d4的穿刺伤害。把你的力量调整加在武器的攻击和伤害骰上。
另外，当你使用攻击动作去擒抱一个生物，你在擒抱检定成功时对他造成3点穿刺伤害。
钉刺甲是一种罕见的中甲，它们出自矮人工匠之手，造型看上去像是覆盖了金属尖刺的皮革外套和护腿。
价格：75gp
AC：14+敏捷调整值（最大+2）
潜行：劣势
重量：45磅</t>
    <phoneticPr fontId="49" type="noConversion"/>
  </si>
  <si>
    <t xml:space="preserve">从6级起，当你在狂暴期间使用 鲁莽攻击Reckless Attack 时，你还可以得到等同于你的 体质调整值（最少1点） 点的临时生命。这一临时生命值在你狂暴结束后还剩余一部分时，剩余部分会消失。 </t>
    <phoneticPr fontId="49" type="noConversion"/>
  </si>
  <si>
    <t xml:space="preserve">从10级起，你在狂暴期间可以以附赠动作执行疾走动作。 </t>
    <phoneticPr fontId="49" type="noConversion"/>
  </si>
  <si>
    <t xml:space="preserve">从14级起，狂暴期间，若你未处于失能状态、且穿着钉刺甲，当你周围5尺范围内有生物用近战攻击命中你时，攻击者将受到3点穿刺伤害。 </t>
    <phoneticPr fontId="49" type="noConversion"/>
  </si>
  <si>
    <t>魔法察觉</t>
    <phoneticPr fontId="49" type="noConversion"/>
  </si>
  <si>
    <t>第3级起，以一个动作，你让你的感官对聚集的魔力的存在保持警觉。直到你的下一个回合结束前，你可以知晓60尺内任何对你来说不处于完全掩护的任何法术或者魔法物品的位置。当你察觉到一个法术的存在时，你还能知晓这个法术属于哪一个学派。
你可以使用该能力的次数等于你的熟练加值。每完成一次长休之后你恢复所有已消耗的使用次数。</t>
    <phoneticPr fontId="49" type="noConversion"/>
  </si>
  <si>
    <t xml:space="preserve">第3级起，你体内那翻滚不息的魔法能量有时会从你身上爆发出来。当你进入狂暴时，投掷下方的狂野魔法列表中决定它所产生的魔法效应。
如果这个狂野魔法需要进行豁免检定，则其DC等于8+你的熟练加值+你的体质调整值。
狂野魔法
D8 魔法效果
 1 阴暗的卷须在你身边疯狂挥舞。在你能看到的30尺内由你选择的生物都必须进行一次体质豁免，如果失败，则将受到1d12的暗蚀伤害。此外。你还会立刻获得1d12点临时生命值。 
 2 你可以传送至多30尺到一个未被占据的、你可以看见的空间。直至你的狂暴结束为止，你的每个回合都可以再用一个附赠动作，再次发动这个效果。 
 3 一个看起来像呋噜或者皮克精（由你决定）的不定形精魂，出现在一个你30尺内可以看到的生物的5尺以内。并且在当前回合结束时，这个精魂会爆炸，所有它周围5尺范围内的生物都必须通过一次敏捷豁免，若失败将承受1d6的力场伤害。直至你的狂暴结束为止，你的每个回合都可以再用一个附赠动作，再次发动这个效果。 
 4 魔力与你正持握着的一件武器（由你选择）紧紧相融在一起。直至你的狂暴结束为止，这把武器的伤害类型转变为力场伤害，并且获得 轻型 和 投掷 的属性，其投掷射程为常规20尺与最大60尺。如果这把武器脱离了你的手，它将会在脱离的同一回合结束时重新出现在你的手中。 
 5 直至你的狂暴结束为止，每当一个生物以攻击检定击中了你，你身上的魔力将抽打反击它，对其造成1d6的力场伤害。 
 6 直至你的狂暴结束为止，你将被彩色的防护光芒环绕，使你的AC获得+1加值。在你10尺内的盟友也可以享受到相同的AC加值。 
 7 你身边将不断临时生长出花朵与藤蔓。直至你的狂暴结束为止，你周围15尺的地面对你的敌人来说变为困难地形。 
 8 一束光从你胸膛射出。你所选择的30尺内的你可以看到的另一个生物必须进行一次体质豁免，如果失败，将会受到1d6的光耀伤害，并陷入 目盲blinded ，直到你的下一个回合开始前。直至你的狂暴结束为止，你的每个回合都可以再用一个附赠动作，再次发动这个效果。 </t>
    <phoneticPr fontId="49" type="noConversion"/>
  </si>
  <si>
    <t>第6级起，你可以控制你的狂野魔法并用于振奋自己或者一个同伴。以一个动作，你触碰一个生物（可以是你自己）并且为该生物提供以下增益中你所选择的一种：
• 10分钟内，该生物在投掷攻击检定或者属性检定时可以额外掷一枚d3，将其加到所扔的d20中。
• 掷一枚d3。这个生物将恢复一个环数小于等于所掷出骰子的结果的法术位（由这个生物决定具体的环阶）。当一个生物享受了这一增益后，直到下一次长休结束前那个生物都不能再次从此特性中获益。 
你可以使用此能力的次数等同于你的熟练加值次，完成一次长休后，你重获全部已消耗的使用次数。</t>
    <phoneticPr fontId="49" type="noConversion"/>
  </si>
  <si>
    <t>第10级起，在你狂暴期间，如果你受到危险，你体内的魔法会猛烈爆发。
每当你在狂暴时受到伤害或者没能通过豁免检定后，你都可以立刻用反应再次重骰你的狂野魔法表，并立刻产生一次骰出的新的魔法效应。这个魔法效应将会替代你当前有的狂野魔法效应。</t>
    <phoneticPr fontId="49" type="noConversion"/>
  </si>
  <si>
    <t>第14级起，每当你投掷狂野魔法表时，你可以掷两次骰子并且选择其中之一作为生效的狂野魔法效应。
如果你掷出的两个骰子数值相同，那么你可以无视这个数字，任选表中的一个效应生效。</t>
    <phoneticPr fontId="49" type="noConversion"/>
  </si>
  <si>
    <t>狂怒之染</t>
    <phoneticPr fontId="49" type="noConversion"/>
  </si>
  <si>
    <t>野兽起源</t>
    <phoneticPr fontId="49" type="noConversion"/>
  </si>
  <si>
    <t xml:space="preserve">踏上野兽道途的野蛮人点燃其灵魂深处熊熊燃烧的兽性火花以激活狂暴。其内心的野兽在嗥叫中被释放，在狂怒中爆发，并改变野蛮人的形态。这些野蛮人可能体内住着一只原初精魂，又或是某个化兽者的后人。请你为自己的野性之力选择一种起源，或在下方的“野兽起源表”随机选择。
D4野兽起源
 1  你的生父或生母是一个兽化人，你也遗传了这方面的一些诅咒。 
 2  你是一位大德鲁伊的后人，并且继承了变形部分躯体的能力。 
 3  一只精类的精魂赐予你变换不同野兽形态的能力。 
 4  一只上古野兽的精魂住在你的体内，为你打开走上此道途的大门。 </t>
    <phoneticPr fontId="49" type="noConversion"/>
  </si>
  <si>
    <t>第3级起，你能在进入狂暴时变形，展现潜在的野兽之力。你将长出一种天生武器，直至狂暴结束。它对你来说被视为一件简易近战武器，并正常使用你的力量调整值进行攻击检定与伤害掷骰。天生武器将一直存在，直到你狂暴结束为止。
你在每次进入狂暴时，可以选择如下的天生武器之一：
• 啃咬Bite。 你的嘴变成一张野兽的血盆大口或双颚长得巨大（由你选择）。它在击中时造成1d8穿刺伤害。每个你的回合一次，当你用这一啃咬攻击命中一个生物， 并且你的生命值数值小于一半时，你能恢复等于你的熟练加值点的生命值。
• 爪击Claws。 你的双手变成利爪，它们在你手空闲时可以作为武器使用。它在击中时造成1d6挥砍伤害。此外，当你在自己的回合使用攻击动作进行了爪击，你可以追加执行一次爪击作为该攻击动作的一部分（一回合一次）。
• 尾击Tail。你长出一条如长鞭般带刺的尾巴，其造成1d8穿刺伤害，具有 触及Reach 属性。如果一个你可见的、距离你10尺以内的生物发动的攻击击中了你，你可以用反应挥起你的尾巴，骰一个d8并将骰值加在你的AC上，可能导致这次攻击打失。</t>
    <phoneticPr fontId="49" type="noConversion"/>
  </si>
  <si>
    <t>第6级起，你体内的野性精魂的力量不断成长，这使得你用野兽之形Form of Beast 特性的天生武器攻击对非魔法攻击或伤害具有抗性或免疫的目标时视为魔法武器的攻击。
你还能改变你的形态来适应周遭环境，当你完成一次短休或长休后，你选择以下增益之一，获得之。这一增益将一直持续直至你再次完成短休或长休为止：
• 你获得等于步行速度的游泳速度，并且能够在水中呼吸。
• 你获得等于步行速度的攀爬速度。你无需进行属性检定也可攀爬于困难表面，包括倒挂天花板。
• 每回合一次，你能在跳跃时进行一次力量（运动）检定，使你的跳跃距离延长等于检定结果的尺数。</t>
    <phoneticPr fontId="49" type="noConversion"/>
  </si>
  <si>
    <t>第10级起，当你在狂暴时用天生武器命中一个敌人时，你体内的精魂将带着狂怒诅咒目标，使之进行一次感知豁免（DC=8+你的体质调整值+你的熟练值），豁免失败将遭受以下效应之一（由你选择）：
• 目标用反应对一个由你选择且你能看见的生物发动一次近战攻击。
• 目标受到2d12心灵伤害。
你能使用本特性的次数等于你的熟练加值次，完成一次长休后，你重获所有已消耗的次数。</t>
    <phoneticPr fontId="49" type="noConversion"/>
  </si>
  <si>
    <t>第14级起，你内心的那匹强大野兽使你能激发盟友的凶性，并强化自己的耐性。当你进入狂暴时，你可以选择你周围30尺内的数个你可见的其他自愿生物，其数量至多等同于你的你的体质调整值（至少1）个。
你获得等同于接受狩猎之唤特性的生物数量五倍点的临时生命值。直至你的狂暴结束前，被选择的这些生物可以分别在每个自己的回合中使用一次以下能力：
• 当攻击检定命中一个目标并造成伤害时，可以骰一个d6，并在伤害中获得骰出结果的加值。
你能使用狩猎之唤的次数等于你的熟练加值次，完成一次长休后，你重获所有已消耗的次数。</t>
    <phoneticPr fontId="49" type="noConversion"/>
  </si>
  <si>
    <t>第3级选择此道途后，你获得说、读、写巨人语的能力。若你已经习得巨人语，则可以改为自选另一种语言。此外，你选择并习得以下戏法之一： 德鲁伊伎俩druidcraft 、奇术thaumaturgy 。这个法术的施法属性为感知。</t>
    <phoneticPr fontId="49" type="noConversion"/>
  </si>
  <si>
    <t>第3级起，你的狂暴从巨人的原初之力中汲取力量，使你成为强大破坏力的化身。狂暴期间，你获得以下的增益：
• 粉碎投掷Crushing Throw。 当你用力量且用投掷武器发动远程武器攻击，并成功命中时，你可以将你的狂暴伤害加值加到这次攻击的伤害掷骰中。
• 巨人体型Giant Stature。 你的触及范围扩大5尺。且，如果你的体型小于大型，你的体型变为大型，你穿戴的所有装备也会一同变大。如果没有足够的空间供你增大体型，你的体型保持不变。</t>
    <phoneticPr fontId="49" type="noConversion"/>
  </si>
  <si>
    <t>第6级起，你和巨人的元素力量的链接成长了，并且，你习得了将原初能量注入武器之中的方式。
当你进入狂暴时，你可以选择一件你正持握的武器中，并为它选择并注入以下伤害类型之一：强酸、寒冷、火焰、雷鸣、或闪电。当你在狂暴中挥舞注能的武器时，武器的伤害类型将转变为你选择的伤害类型，并在命中时额外造成1d6点所选类型的伤害。此外它还将获得 投掷Thrown 属性，具有通常射程20尺与最大射程60尺。如果你投掷这把武器，它不论是否击中目标，它都将在那之后立刻重新出现在你的手中。注能武器的增益将在除你以外的其他生物持握它时将被暂时压制。
在狂暴期间，若你持握着注能武器，你就可以用一个附赠动作改变其伤害类型为另一项，从前文提到的伤害类型中选择。</t>
    <phoneticPr fontId="49" type="noConversion"/>
  </si>
  <si>
    <t>第10级起，借由你与巨人之力量的链接，你可以猛投战场上的盟友与敌人。狂暴期间，以一个附赠动作，你可以选择触及范围内的一个不超过中型体型的生物，将其移动到你周围30尺内的一处你可见的、未被占据的空间。非自愿的生物必须成功通过一次力量豁免（DC=8+你的熟练加值+你的力量调整值）才能避免遭受这一效应。
若在这次移动结束时，被投掷的生物并未站在一个可以支撑他的固体表面或液体中，该生物将坠落，正常承受摔落伤害并在落地时陷入 倒地Prone。</t>
    <phoneticPr fontId="49" type="noConversion"/>
  </si>
  <si>
    <t>第14级起，你狂暴中的原初力量增强了。当你狂暴时，你的触及范围再次提升10尺，而你的体型可以增大为大型或巨型（由你选择），且你还可以用 伟力推动Mighty Impel 特性投掷不超过大型体型的生物。
此外，你的 元素战刃Elemental Cleaver 特性造成的额外伤害提升至2d6。</t>
    <phoneticPr fontId="49" type="noConversion"/>
  </si>
  <si>
    <t>从第1级起，你可以用热血的话语和音乐激励他人。
此时，你可以在自己回合内用一个附赠动作指定身边60尺内一个能听到你声音的生物（不能指定你自身），并使该生物获得一个诗人激励，即一个d6的激励骰。
在接下来的10分钟内，该生物在进行单次属性检定、攻击检定、豁免检定时可以使用该激励骰，以将其结果加到掷骰结果中。该生物可以在d20结果掷出后，DM宣布结果前决定是否使用诗人激励。而诗人激励一旦使用即被消耗掉。一个生物同一时间里只能保有一个诗人激励。
你能够使用该特性的次数等于你的魅力调整值（最低一次）。完成一次长休后，你将重获所有消耗掉的诗人激励次数。
你产生的激励骰大小可以在达到本职业的特定等级时增大。第5级时为d8，第10级时为d10，而第15级时为d12。</t>
    <phoneticPr fontId="49" type="noConversion"/>
  </si>
  <si>
    <t>第2级起，你可以在短休时用轻柔的音乐或话语帮助伙伴们恢复伤势。
如果你或任何友方生物可以在其短休时听到你的演奏声，且决定在此时使用生命骰恢复生命值，则其恢复量可以额外增加1d6。
该额外恢复的数值在达到特定职业等级时可以再增加。第9级时增为1d8，第13级时增为1d10，第17级时增为1d12。</t>
    <phoneticPr fontId="49" type="noConversion"/>
  </si>
  <si>
    <t>第3级起，你选择两个已有的技能熟练项。此后你进行所选技能的属性检定时，可以使用双倍的熟练加值。
第10级后，你可以再选择另外两个已有的技能熟练项从该特性中获益。</t>
    <phoneticPr fontId="49" type="noConversion"/>
  </si>
  <si>
    <t>第3级起，如果一个生物拥有来自你的吟游诗人激励骰子，在他释放一个恢复生命值或者造成伤害的法术时，他可以掷出激励骰子并选择法术的其中一个被法术影响的目标，在对该目标的恢复或者伤害数值上加上吟游诗人激励骰的掷骰结果，这个吟游诗人激励骰子随即被消耗。</t>
    <phoneticPr fontId="49" type="noConversion"/>
  </si>
  <si>
    <t>第6级起，你获得用音乐或话语来打断心控效应的能力。你可以使用一个动作开始一场持续至你的下一回合结束的演出。在这段时间内，你与你身边30尺内的友方生物进行对抗恐慌或魅惑效应的豁免检定具有优势。该生物必须能听到你的声音才能获得此增益。这场表演在你陷入失能状态、被沉默、或主动终止（无需动作）时会提前结束。</t>
    <phoneticPr fontId="49" type="noConversion"/>
  </si>
  <si>
    <t>第10级起，你从旋律中了解了大量的魔法知识，使你可以从所有职业的法术列表里选择两个法术（包括诗人列表）加入已知法术中。你所选择的法术必须是你当前等级可以施展的环阶法术或戏法。
所选法术对你而言视为吟游诗人法术，且包含在“诗人职业表”上“已知法术”一栏所记录的数量之内。
第14和第18级时，你可以分别使用此特性再习得两个任选法术。</t>
    <phoneticPr fontId="49" type="noConversion"/>
  </si>
  <si>
    <t>第3级起，你学会运用你的妙语连珠来打断敌人，迷惑对方或影响他人的信心。当你身边60尺内一个你能看见的生物进行攻击检定，属性检定或伤害掷骰时，你可以用反应消耗一次诗人激励次数来掷一次激励骰。并在目标的掷骰结果中减去你的激励骰结果。你可以在目标掷出骰子后，DM宣布结果之前决定是否使用该特性。若目标无法听见你的话语或免疫魅惑状态，则目标同样也会免疫该特性。</t>
    <phoneticPr fontId="49" type="noConversion"/>
  </si>
  <si>
    <t>第6级时，你从任意职业的法术列表里选择两个法术加入已知法术中。
你选择的法术必须是你当前等级可以施展的环阶或戏法。所选法术对你而言视为吟游诗人法术，但不包含在“诗人职业表”上“已知法术”一栏的所记录的数量之内。</t>
    <phoneticPr fontId="49" type="noConversion"/>
  </si>
  <si>
    <t>第3级起，你学会里如何激励他人作战。从你身上获得诗人激励的生物投掷武器伤害掷骰时，可以使用该激励骰并将其骰值加入本次伤害掷骰中。
另外，从你身上获得诗人激励的生物被攻击时，该生物可以用它的反应使用该激励骰，并将掷骰结果加入到它对抗该次攻击的AC中，该特性可以使用于攻击检定揭示后，但必须在命中与否宣布之前使用。</t>
    <phoneticPr fontId="49" type="noConversion"/>
  </si>
  <si>
    <t>当你在3级加入迷惑学院起，你获得将妖精的魔法浸入歌曲的力量，为你的盟友们带来活力与速度。
以一个附赠动作，你可以消耗一次吟游激励的次数，让自己得到华美而出尘的外貌。此时，选择你周围60尺内的一定数量能看见你且你也能看见的生物，其数量至多等同于你的魅力调整值个（至少1个）。每个生物都会获得5点临时生命值。而当一个生物获得这些临时生命值时，它可以用其反应移动至多等同于其速度的距离，此次移动不会引发借机攻击。
在你达到此职业的特定等级后，你能给予它们更多的临时生命值，在5级后提高到8点，10级后11点，15级后14点。</t>
    <phoneticPr fontId="49" type="noConversion"/>
  </si>
  <si>
    <t>第3级起，你能将诱惑力和妖精的魔法充入你的表演。
若你进行了至少1分钟的表演，你就可以借由歌唱、吟诗、或舞蹈的方式来让你的观众们感受到奇妙的力量。在这次表演的结束时，选择你周围60尺范围内一定数量的、完整观看并聆听了你的表演的类人生物，可以选择的数量至多等同于你的魅力调整值个（至少1个）。每个目标必须通过一次对抗你的法术豁免DC的感知豁免，若豁免失败则其将被你魅惑。当被你以此法魅惑时，目标视你为偶像，他会热情的和任何和它交谈的人谈论你，反对任何对抗你的人，它会避免暴力，除非他已经站在你这边加入了战斗。每个目标身上的效应都将持续1小时。当受影响生物受到任何伤害、你攻击了它、或它目睹你对任何它的盟友进行攻击或造成伤害时会提前结束。
若一个目标对抗此效应的豁免成功，该目标不会察觉到你曾试图魅惑他的行为。
一旦你使用了此特性，直到你完成一次短休或长休前你都不能再次使用它。</t>
    <phoneticPr fontId="49" type="noConversion"/>
  </si>
  <si>
    <t>第6级起，你得到了用精类魔法覆盖自己的能力，令他人化为服从你指令的傀儡。以一个附赠动作，你施展法术 命令术command ，无需消耗法术位。且同时你获得无上的美貌，持续1分钟，如果你的专注结束（如同你专注于一个法术），它也会提前结束。在这段时间内，你在每个你的回合中都能再用一个附赠动作施展法术 命令术command ，且同样无需消耗法术位。
以此施展的 命令术Command 中，任何被你 魅惑Charmed 的生物将自动豁免失败。
一旦你使用了此特性，直到你完成一次长休前你都不能再次使用它。</t>
    <phoneticPr fontId="49" type="noConversion"/>
  </si>
  <si>
    <t>第14级起，你的外貌变得超凡脱俗，这让你看上去更加漂亮与骇人。
此外，以一个附赠动作，你展现出魔法性的完美仪度，持续1分钟，如果你陷入 失能Incapacitated，它也将提前结束。持续时间内，任何生物在每回合中首次试图对你进行攻击时都必须通过一次对抗你的法术豁免DC的魅力豁免。豁免失败时，该生物在这个回合内将无法攻击你，且必须要为本次攻击选定一个新的目标，或放弃攻击。豁免检定成功时，该生物能够正常攻击你，但它在下个你的回合中，对抗你的法术所做的任何豁免检定都将具有劣势。
一旦你使用了此特性，直到你完成一次短休或长休前你都不能再次使用它。</t>
    <phoneticPr fontId="49" type="noConversion"/>
  </si>
  <si>
    <t>当你在3级加入剑舞学院时，你得到中甲和弯刀的熟练项。
若你熟练于一把简易近战武器或者军用近战武器，你就可以将其作为你诗人法术的法器使用。</t>
    <phoneticPr fontId="49" type="noConversion"/>
  </si>
  <si>
    <t>第3级起，你可以选择一种战斗风格作为你的专精。选择下述战斗风格之一。即使你今后仍可有选择战斗风格的机会，你也不能多次选择同一种战斗风格。• 决斗：当你单手持一把近战武器，且不持用其他武器，你使用这把武器的武器伤害骰获得+2加值。
• 双武器战斗：当以双武器战斗时，你可以将你的属性调整值加到第二次攻击的伤害上。</t>
    <phoneticPr fontId="49" type="noConversion"/>
  </si>
  <si>
    <t>第3级起，你学会使用你的战斗技巧和速度来进行一场令人赞叹的表演。
当你在自己回合执行攻击动作时，你的步行速度提升10尺直到该回合结束。当你在该攻击动作中发动的武器攻击命中生物时，你能选择并应用以下剑舞选项之一。每回合你只能使用一种剑舞选项。
• 守御剑舞 Defensive Flourish。 你可以消耗一次诗人激励的次数，并使该武器对你命中的目标造成额外的伤害。额外伤害等于你的激励骰掷骰结果。你的AC也会获得激励骰掷骰结果相等的加值，持续直至你的下回合开始。
• 乱击剑舞 Slashing Flourish。 你可以消耗一次诗人激励的次数，并使该武器对你命中的目标造成额外伤害，伤害等于你的激励骰投掷结果。你周围5尺范围内由你选择的其他可见生物也将受到这一额外伤害。
• 推击剑舞 Mobile Flourish。你可以消耗一次诗人激励的次数，并使该武器对你命中的目标造成额外的伤害，伤害等于你的激励骰投掷结果。你还能将目标向远离你的方向推动至多 5＋你的激励骰掷骰结果 尺。推动之后，你能立即使用你的反应移动至多等于你步行速度的距离，来到目标周围5尺范围内的一处未被占据的空间内。</t>
    <phoneticPr fontId="49" type="noConversion"/>
  </si>
  <si>
    <t>第14级起，当你使用剑舞选项时，你可以不消耗诗人激励次数，并投掷d6以代替选项中诗人激励骰使用。</t>
    <phoneticPr fontId="49" type="noConversion"/>
  </si>
  <si>
    <t>第6级起，你在自己回合内执行攻击动作时可以攻击两次而非一次。</t>
    <phoneticPr fontId="49" type="noConversion"/>
  </si>
  <si>
    <t>你在3级加入低语学院起，你得到了让你的武器攻击毒害生物精神的魔法能力。
当你以一次武器攻击命中一个生物时，你可以消耗一次吟游激励的次数并对目标造成额外的2d6点心灵伤害。你每轮在你的回合中只能这么做一次。
在你达到此职业的特定等级后，额外心灵伤害的值将提高，在5级后提高到3d6，10级后5d6，15级后8d6。</t>
    <phoneticPr fontId="49" type="noConversion"/>
  </si>
  <si>
    <t>第3级起，你学会了将险恶的魔法混入看似无害的语言中。一个听到你说话的生物可能会因此陷入恐惧或妄想。
若你单独的对一个类人生物交谈了至少1分钟，你可以尝试在其心灵中埋下多疑与恐惧的种子。在这次谈话的结束时，该目标必须通过一次对抗你的法术豁免DC的感知豁免，豁免失败将陷入对你或者你指定的某一生物的 恐慌Frightened ，持续1小时。如果它被攻击或伤害、它目击其盟友被攻击或伤害，这一效应将提前终止。
若一个目标对抗此效应的豁免成功，该目标不会察觉到你曾试图惊吓他的行为。
一旦你使用了此特性，直到你完成一次短休或长休前你都不能再次使用它。</t>
    <phoneticPr fontId="49" type="noConversion"/>
  </si>
  <si>
    <t>第6级时，你得到了吸取类人生物的人格的能力。当一个类人生物在你周围30尺内死去时，你可以使用你的反应，魔法性的捕获其影。直到你完成了一次长休或你使用掉它为止你能一直抓住这道影子。
你可以以一个动作使用这道影子。当你这么做时，影子将消散，并化作一具完美的伪装覆盖在你的身上。现在，你看起来就像是那个死去的人物生前健康活着的状态一样。伪装效应将持续1小时。你可以以一个附赠动作提前结束此效应。
当你处于伪装中，你会获得所有该生物会与他人分享的信息。这包括了其背景和人生的一般细节，但不包括秘密。这些信息足够你借用它的记忆来伪装成该生物。
其他生物可以通过进行一次感知（洞悉）检定对抗你的魅力（欺瞒）检定，以此来看穿此伪装。不过你在你的这一检定中具有+5加值。
一旦你使用此特性捕获了一道影子，直到你完成一次短休或长休前你都不能再捕获另一道影子。</t>
    <phoneticPr fontId="49" type="noConversion"/>
  </si>
  <si>
    <t>第14级起，你学会了在言语中织入黑暗魔法激发一个生物内心最深处的恐惧。
以一个动作，你对一个30尺内，能听见你的声音的生物发出一段魔法低语。目标必须进行一次对抗你的法术豁免DC的感知豁免。若它与你没有共通的语言、或是它不能听见你的声音，它的豁免将自动成功。豁免成功时，你的低语声听起来就像是一段不知所云的呢喃，且没有任何效果。
豁免失败时，他将被你 魅惑Charmed ，持续8小时。如果你或你的盟友攻击了它、伤害了它、或是迫使它进行一次豁免检定这一状态也将提前结束。他认为这段低语描述了他最为困窘的秘密。尽管你并不会因此了解到这个秘密是什么，但是目标会坚信你已经知道了。
当被以此法魅惑时，该生物因为畏惧你会公开他的秘密而遵循你的命令。不过它不会为了你而进行危及自身性命的事，也不会为你战斗（除非他已经倾向于这么做了）。它会视你为挚友，并会像密友那样提供关爱和恩惠。
当此效应结束时，该生物将无法明白为何他会对你如此恐惧。
一旦你使用了此特性，直到你完成一次长休前你都不能再次使用它。</t>
    <phoneticPr fontId="49" type="noConversion"/>
  </si>
  <si>
    <t>惊骇之语</t>
    <phoneticPr fontId="49" type="noConversion"/>
  </si>
  <si>
    <t>渐强创音</t>
    <phoneticPr fontId="49" type="noConversion"/>
  </si>
  <si>
    <t>第3级起，每当你给予一个生物诗人激励骰时，你可以唱出造物之歌的一个音符，创造一团微小的潜能微尘，在那个生物五尺以内的轨道上环绕。这个微尘是无形且不可被摧毁的，它将在这个诗人激励骰被消耗掉前一直存在。这团微尘看起来像一个音符，或是一颗星星，一朵花，抑或其他任何一种艺术或者生命的符号，这将由你来决定。
当这个生物使用那个诗人激励骰时，这团微尘将会根据这个诗人激励骰被使用的方式即用于属性检定、攻击检定还是豁免检定产生不同的额外效果。具体细节如下所示：
• 属性检定：当该生物将诗人激励骰用于增益属性检定时，他可以重新掷一次诗人激励骰并且选择使用其中一个掷骰结果，这团微尘会炸开，发射出多彩而无害的闪光。
• 攻击检定：当该生物将诗人激励骰用于增益攻击检定时，掷出诗人激励骰后，这团微尘会立刻如雷霆般破碎，该生物这次攻击的目标以及其5尺距离内你能看到的由你决定的所有生物必须进行一次体质豁免，其DC为你的施法DC，如果豁免失败，将会承受等同于该诗人激励骰子所掷结果的雷鸣伤害。
• 豁免检定：当该生物将诗人激励骰用于增益豁免检定时，掷出诗人激励骰后，这团微尘会立刻伴随着一段舒缓的音乐消失不见，给予这个生物等同于该诗人激励骰子所掷结果加上你的魅力调整值的临时生命值（最低为1）。</t>
    <phoneticPr fontId="49" type="noConversion"/>
  </si>
  <si>
    <t>第3级起，以一个动作，你可以引导造物之歌的魔力来创造一个你选择的非魔法物品，它会在你选择的距离你10尺内的一处未被占据的空间里生成。它必须要生成在液体中或是表面上的一个可以支撑它的地方。这件物品的价值不能超过你吟游诗人等级的二十倍gp，而且必须是中型或者更小的物品。这件物品会闪烁着柔和的微光。当一个生物触碰它的时候，会听到轻微的音乐。在被创造出等同于你的熟练加值数的小时之后，这件物品会消失。你可以通过此方法创造的各种物品，玩家手册中的装备章节里的物品大多数物品就是很好的例子。
每当你用这一特性创造出一件物品后，直到下一次长休结束前你都不能再次使用这个能力。你也可以消耗一个2环或者更高级的法术位去再次使用这个能力。你同时只能保持一件以此法被创造出的物品。如果在你使用这个能力创造物品时已经有一件被创造出来的物品了，那么那个旧的物品会立刻消失不见。
你创造的物品都大小限制会随着你的吟游诗人等级提高而增长。6级时你可以创造出大型物品，14级时你可以创造去巨型物品。</t>
    <phoneticPr fontId="49" type="noConversion"/>
  </si>
  <si>
    <t>第6级起，以一个动作，你可以选择你30尺内一个你可以看见大型或者更小的非魔法物品，赋予其生命。
这件活化的物品将会使用如下舞空物品的属性，并且使用你的熟练加值。
这件物品将会对你以及你的伙伴保持友好，而且会听从你的命令。
它将持续保持活性一个小时，如果期间其生命值降低为0，或者你死亡，则该物品失去活性。
在战斗中，该物品将会与你共用先攻，它会紧随在你的回合后行动。
它可以自行移动并执行自己的反应，不过在它的回合它只会进行回避动作。
除非使用附赠动作对它发出命令，他可以做其动作列表中的动作，当然你也可以命令它做其他事情。
如果你的角色失能昏迷了，那么这件活化物品会做其他动作，不仅仅是回避动作。
当你使用附赠动作发出诗人激励时，作为发出诗人激励的附赠动作的一部分，你同时也可以对这个活化物品发出指令。
每当你用这一特性活化一件物品后，直到下一次长休结束前你都不能再次使用这个能力。
你可以消耗一个3环或者更高级的法术位去重制这个能力的使用次数。
你同时只能保持一件以此法被活化的物品，如果在你使用这个能力活化物品时已经有一件被活化的物品了，那么那个旧的物品会立刻停止不动，变回死物。</t>
    <phoneticPr fontId="49" type="noConversion"/>
  </si>
  <si>
    <t>第14级起，当你使用造物表演特性创造物品时，你可以一次性创造多件物品，其数量等于你的魅力调整值（最低为两件物品）。如果你创造新的物品后，物品的总数超过了这个上限，那么你可以选择你先前创造的物品中的哪几件将会消失不见。你所创造的物品中只有一件可以达到你创造物品的大小峰值，其他的必须是小型或者微型。
你的创造表演特性不再会有创造物品的价值限制。</t>
    <phoneticPr fontId="49" type="noConversion"/>
  </si>
  <si>
    <t>传播鼓舞</t>
    <phoneticPr fontId="49" type="noConversion"/>
  </si>
  <si>
    <t>第3级起，你是语言的大师，懂得在合适的时刻说出正确的话语。当你在进行一次魅力（游说/说服）检定或魅力（欺瞒）检定时，如果你可以将9或更低的骰值全部视为10。</t>
    <phoneticPr fontId="49" type="noConversion"/>
  </si>
  <si>
    <t>第3级起，你可以编造一些带有魔力的话语，扰乱一个生物的心神，使其自我怀疑。消耗一个附赠动作，你可以消耗一个诗人激励骰，选择一个你可见的距你60尺以内的生物。掷出诗人激励骰，在你的下一个回合开始前，该生物的下一次豁免检定将会减去这个激励骰所投出的值。</t>
    <phoneticPr fontId="49" type="noConversion"/>
  </si>
  <si>
    <t>第6级起，你的激励言语是如此的具有感染力，以至于被鼓舞的人感受到他们必须行，不行也得行的做到成功。当一个生物使用了你的诗人激励骰子，将结果加入到攻击检定、属性检定、或豁免检定中，但仍然失败了，他可以保留这个诗人激励骰而不消耗。</t>
    <phoneticPr fontId="49" type="noConversion"/>
  </si>
  <si>
    <t>第6级起，你掌握了一种一让你的话语被任何有智慧的生物理解的方法。以一个动作，你可以选择至多为你魅力调整数量的生物（至少为一个），他们必须在你六十尺内。在接下来的一个小时内，被选中的生物可以魔法性的理解你，不论你所说的话是用何种语言说的。
每当你用这一能力，直到下一次长休结束前你都不能再次使用这个能力。你也可以消耗任意一个的法术位去再次使用这个能力。</t>
    <phoneticPr fontId="49" type="noConversion"/>
  </si>
  <si>
    <t>第14级起，当你成功激励了他人之后，你那雄辩言辞的力量会散播开去。当一个距离你60尺内的生物使用了你的诗人激励骰增益了一次攻击检定、属性检定、或豁免检定并且成功之后，你可以用你的反应去借此鼓励另一个能够听见你的生物（除了你）。那个生物会获得一个诗人激励骰，而你并不会因此消耗你的诗人激励次数。
你可以使用这个能力的次数等于你的魅力调整值（最低为一次）次，完成一次长休后你重获该能力所有被消耗的使用次数。</t>
    <phoneticPr fontId="49" type="noConversion"/>
  </si>
  <si>
    <t>第3级起，你可以通过与精魂沟通来引导你和其他人。你习得戏法神导术guidance，且不计入你已习得的吟游诗人戏法数量。对你来说，当你施展神导术guidance时，其施法距离为60尺。</t>
    <phoneticPr fontId="49" type="noConversion"/>
  </si>
  <si>
    <t>第3级起，你使用工具来与精魂沟通，无论这些精魂是历史上的人物，还是虚构的原型。以下物品可作为你施展吟游诗人法术的法器：一根蜡烛、一个水晶球、一个头骨、一个通灵板或者一副塔罗卡牌。
从6级开始，当你通过精魂法器施放一个造成伤害或恢复生命的吟游诗人法术时，投一枚d6，你在该法术的一次伤害或治疗掷骰中获得等同于该d6掷骰结果的加值。</t>
    <phoneticPr fontId="49" type="noConversion"/>
  </si>
  <si>
    <t>第3级起，你与那些借由你来讲述自己故事的精魂沟通。当你持握你的精魂法器时，你可以使用一个附赠动作，消耗一次你的诗人激励来投掷一次精魂故事表。诗人激励骰的掷骰结果将决定精魂们引导你说出何种故事。这个故事将保存在你脑海中，直到你用掉该故事的效果，或者完成一次短休或长休。
你可以使用一个动作选择30尺内一个你能够看到的生物（可以是你自身）作为故事效果所影响的目标。一旦这样做之后，在下一次投掷故事表以前，你都无法再次使用此故事的效果。
你的脑海中一次只能保存一种故事，再次投掷精魂故事表将立刻结束之前一个故事的效果。
如果故事的效果需要进行豁免，其DC为你的法术豁免DC。</t>
    <phoneticPr fontId="49" type="noConversion"/>
  </si>
  <si>
    <t>第6级起，精魂赐予你超自然的洞悉能力。你可以进行一个小时的仪式，使用精魂法器来与精魂们沟通（这可以在短休或长休中进行）。你可以召集等同于你熟练加值数目的自愿生物来参与仪式（可以包括你自己）。仪式结束时，你可以从任意职业的法术列表中选择一个法术，你暂时性地习得该法术。
你习得的法术的环级需等于参加仪式的生物数目，该法术必须为预言或死灵学派，并且必须是你可以施放的环级的法术。该法术对你而言是诗人法术，但不计入你已知的诗人法术数量中。
一旦你举行了仪式，直到开始一次长休前都不能再次这样做，你临时习得的法术持续直到你开始一次长休。</t>
    <phoneticPr fontId="49" type="noConversion"/>
  </si>
  <si>
    <t>第14级起，在使用彼岸故事特性时，你能稍微推动精魂们倾向特定的故事。当你投掷精魂故事表时，你可以掷骰两次，自选其中一个效果使用。如果两次掷骰结果相同，则你此次可以忽略掷骰结果，并从表中任选一个效果使用。</t>
    <phoneticPr fontId="49" type="noConversion"/>
  </si>
  <si>
    <t>从2级起，你可以花费一次你的引导神力次数来充能你的法术。
你可以用一个附赠动作触碰你的圣徽并祈祷，你恢复一个环阶不超过你熟练加值的一半（向上取整）的法术位。
你能使用此特性的次数取决于你此职业的等级：2级一次；6级两次；18级三次。完成一次长休后，你将恢复所有已消耗的次数。</t>
    <phoneticPr fontId="49" type="noConversion"/>
  </si>
  <si>
    <t>第5级起，当不死生物进行对抗你驱散特性的豁免失败时，如果其挑战等级等于或低于一个既定的下限，则该不死生物将被即时摧毁。
相应的数值列举在表格“摧毁不死生物”中。
牧师等级——摧毁不死生物的挑战等级
5th——1/2或更低
8th——1或更低
11th——2或更低
14th——3或更低
17th——4或更低</t>
    <phoneticPr fontId="49" type="noConversion"/>
  </si>
  <si>
    <t>第10级起，你可以在迫切需要帮助时，召唤神祇的协助。
你需要用一个动作来请求所信仰神祇的帮助。描述你所需要的帮助，然后掷d100。如果你的结果等于或者小于你的牧师等级，你将得到神祇的回应。
回应的结果由DM作出选择；此时通常请求任何牧师法术或者领域法术的效应都在可接受范围内。
如果你的神祇回应了请求，你在此后的7日内无法再次使用该特性；否则你可以在完成长休后再次使用该特性。
到达20级后，你的呼唤将自动得到神祇的回应，无需再掷d100。</t>
    <phoneticPr fontId="49" type="noConversion"/>
  </si>
  <si>
    <t>第1级起，你学会两门自选语言。你还从以下技能中选择两项加入你的熟练项中：奥秘、历史、自然、宗教。
你进行关于所选两项技能的属性检定时，可以加上双倍的熟练加值。</t>
    <phoneticPr fontId="49" type="noConversion"/>
  </si>
  <si>
    <t>第6级起，你可以用引导神力特性阅读某生物的思想，以此接触其意识并对其下达命令。
作为一个动作，你指定身边60尺内一个你可以看见的生物。该生物必须进行一次感知豁免。豁免成功则你不能对其使用该特性，直至你完成一次长休。
如若豁免失败，且其仍身处你周边60尺内，则你可以阅读其表层的思想（最基础的意识，当前情绪的反映以及正活跃的思考内容）。该效应持续1分钟。
效应持续期间，你可以用你的动作终止该效应，并同时对其施展一个无需花费法术位的暗示术。而目标对该法术的豁免将直接判定为失败。</t>
    <phoneticPr fontId="49" type="noConversion"/>
  </si>
  <si>
    <t>第17级起，你可以看到过去的情形。你花费至少1分钟冥想，然后将以梦幻阴暗的形式瞥见最近发生的事件。你在维持幻觉的时长分钟数等于你的感知值。而在这段时间里，你必须要如施法般维持专注。
你使用该特性后必须完成一次短休或长休才能再次启用。
• 物件解读：保持专注于某个物件时，你即可从幻觉中找到其之前的拥有者。1分钟冥想后，你将看到该拥有者如何获得以及如何丢失该物件。以及新近发生的涉及该物体与该拥有者的重大事件。如果对象在近期转交由另一个生物拥有（转交日距施法时的日数必须在等同于你感知值的日数之内），则每个生物你要花费额外1分钟进行冥想，以通过幻觉获得同类的信息。
• 区域解读：你在冥想时看到的景象是身处位置最近发生的事件（某处的房间、街道、地道、空地，或是与之类似的50尺立方空间），可回溯的日数等于你的感知值。每个重要事件的幻象都将额外花费你1分钟的时间。这些重大事件通常涉及强烈的情感，比如战争和背叛、结婚和谋杀、出生和葬礼等。而这其中也可能包含有一些当时看似平凡无奇，眼下却显得至关重要的事情。</t>
    <phoneticPr fontId="49" type="noConversion"/>
  </si>
  <si>
    <t>第2级起，你可以用引导神力特性来恢复严重的伤害。
你用一个动作展示圣徽，引导治疗能量来恢复等于你牧师等级五倍的生命值。你指定身边30尺内的任意生物作为该特性的目标，再为其分配从中获得的治疗能量。
该特性不能将目标恢复到其生命值上限的一半以上。而且你不能对不死生物或构装生物使用该特性。</t>
    <phoneticPr fontId="49" type="noConversion"/>
  </si>
  <si>
    <t>第8级起，你可以使你的武器充满神圣能量。你在每个自己回合里有一次机会，可以在用武器攻击命中某生物时，使该攻击额外造成1d8的光耀伤害。14级时，该伤害提升到2d8。</t>
    <phoneticPr fontId="49" type="noConversion"/>
  </si>
  <si>
    <t>第17级起，当你需要用一个法术来掷一粒或多粒骰子计算你所恢复的生命值时，所有骰子将取其最高值。例如，法术为某一生物恢复2d6生命值，则其结果直接取12。</t>
    <phoneticPr fontId="49" type="noConversion"/>
  </si>
  <si>
    <t>第1级起，你可以在自己与正发动攻击的敌人之间建起一道神圣之光。当你身边30尺内一个你能看见的生物向你发动攻击时，你可以用你的反应在攻击完成前对攻击者闪出一道光亮，以此迫使该攻击检定具有劣势。不受目盲状态影响的攻击者同样对该特性免疫。
你可以使用该特性的次数等于你的感知调整值（至少为一次）。而你将在完成一次长休后重新恢复所有的使用次数。</t>
    <phoneticPr fontId="49" type="noConversion"/>
  </si>
  <si>
    <t>第2级起，你可以用引导神力特性驱策阳光，以驱逐黑暗并对敌人造成光耀伤害。
作为一个动作，你可以展示你的圣徽，并驱散你身边30尺内所有源自魔法的黑暗。此外，你身边30尺内每个敌对生物都必须进行一次体质豁免。豁免失败者将受2d10＋你牧师等级的光耀伤害，豁免成功则伤害减半。相对你处于全身掩护的生物不受该效应影响。</t>
    <phoneticPr fontId="49" type="noConversion"/>
  </si>
  <si>
    <t>第17级起，你可以用你的动作启动日光的灵光，其效应持续1分钟或直至你用另一个动作将其解散。你将释放出半径60尺的亮光光照，以及其外延伸30尺的微光光照。身处该亮光光照中的敌人，为抵抗任何火焰或光耀伤害的法术而进行豁免检定时具有劣势。</t>
    <phoneticPr fontId="49" type="noConversion"/>
  </si>
  <si>
    <t>第1级时，你习得一个自选的德鲁伊戏法。你还可以获得以下技能之一的熟练项：驯兽、自然、生存。这个戏法不计入你的已知戏法数量中。</t>
    <phoneticPr fontId="49" type="noConversion"/>
  </si>
  <si>
    <t>第2级起，你可以用引导神力特性魅惑动物和植物。
作为一个动作，你可以展示你的圣徽同时呼唤守护神之名。身处你身边30尺内每个你能看见的野兽或植物生物都必须进行一次感知豁免。豁免失败者将受你魅惑，该魅惑状态将持续1分钟或直至其受到伤害。受你魅惑时，该生物对你及你指定的生物均保持友善。</t>
    <phoneticPr fontId="49" type="noConversion"/>
  </si>
  <si>
    <t>第8级起，你可以使你的武器充满神圣能量。你在每个自己回合里有一次机会，可以在用武器攻击命中某生物时，使该攻击额外造成1d8点冷冻，火焰或闪电伤害（由你选择）。14级时，该伤害提升到2d8。</t>
    <phoneticPr fontId="49" type="noConversion"/>
  </si>
  <si>
    <t>第1级起，你可以用雷霆驱逐攻击者。
身处你周边5尺范围内一个你能看见的生物攻击命中你时，你可以用你的反应迫使该生物进行一次敏捷豁免。豁免失败者将受到2d8点闪电或雷鸣伤害（由你选择），豁免成功则伤害减半。
你可以使用该特性的次数等于你的感知调整值（至少为一次）。而你将在完成一次长休后重新恢复所有的使用次数。</t>
    <phoneticPr fontId="49" type="noConversion"/>
  </si>
  <si>
    <t>第8级起，你可以使你的武器充满神圣能量。你在每个自己回合里有一次机会，可以在用武器攻击命中某生物时使该攻击额外造成1d8点雷鸣伤害。14级时，该伤害提升到2d8。</t>
    <phoneticPr fontId="49" type="noConversion"/>
  </si>
  <si>
    <t>从第1级选择该领域起，你可以用你的动作触碰处你自身之外的一个自愿目标，并使他在进行敏捷（隐匿）检定时具有优势。
该祝福持续1小时或直至你再次使用该特性为止。</t>
    <phoneticPr fontId="49" type="noConversion"/>
  </si>
  <si>
    <t>第2级起，你可以用引导神力特性来创造一个你自身的幻象分身。
作为一个动作，你可以创造一个完美的自身幻象。该幻象持续存在一分钟，或直至你失去对该特性的专注（等同于专注一个法术）。该幻象出现在你身边30尺内一个你能看见且未被占据的空间。你在自己回合内可以用一个附赠动作让该幻象移动至多30尺到某个你能看见的地方，但其必须始终保持离你120尺以内。
在幻象持续期间，你可以从幻象所在位置施展法术，但仍必须使用你自己的感官。当你和幻象都在同一个目标身边5尺内，且该目标可以看见幻象时，由于幻象对目标造成的干扰，你对该目标发动攻击而进行的攻击检定具有优势。</t>
    <phoneticPr fontId="49" type="noConversion"/>
  </si>
  <si>
    <t>第6级起，你可以用引导神力特性来消失不见。
作为一个动作，你变成隐形状态，该状态将持续至你的下一回合结束。当你攻击或施法时，将随即显形。</t>
    <phoneticPr fontId="49" type="noConversion"/>
  </si>
  <si>
    <t>第8级起，你可以使你的武器染上神赐的毒素。你在每个自己回合里有一次机会，可以在用武器攻击命中某生物时使该攻击额外造成1d8点毒素伤害。14级时，该伤害提升到2d8。</t>
    <phoneticPr fontId="49" type="noConversion"/>
  </si>
  <si>
    <t>第1级起，你的守护神在战斗中给你激励。当你执行攻击动作时，你可以用一个附赠动作发动一次武器攻击。
你可以使用该特性的次数等于你的感知调整值（至少为一次）。而你将在完成一次长休后重新恢复所有的使用次数。</t>
    <phoneticPr fontId="49" type="noConversion"/>
  </si>
  <si>
    <t>第2级起，你可以用引导神力特性作出精准的打击。你在进行攻击检定时，可以使用引导神力令该次检定获得+10加值。
你可以在看到掷骰结果后DM公布是否命中前，决定是否使用该特性。</t>
    <phoneticPr fontId="49" type="noConversion"/>
  </si>
  <si>
    <t>第8级起，你可以使你的武器充满神圣能量。你在每个自己回合里有一次机会，可以在用武器攻击命中某生物时，使该攻击额外造成1d8点与该武器伤害类型相同的伤害。14级时，该伤害提升到2d8。</t>
    <phoneticPr fontId="49" type="noConversion"/>
  </si>
  <si>
    <t>在1级，你获得将魔法灌输到武器或护甲中的能力。
在长休的结束，你可以触摸一件非魔法护甲或者简易或军用武器，直到你下一次长休或者你死亡，若是护甲，其AC获得+1加值；若是武器，其攻击骰和伤害骰获得+1加值。
一旦你使用过此特性，直到你完成一次长休，你无法再次使用它。</t>
    <phoneticPr fontId="49" type="noConversion"/>
  </si>
  <si>
    <t>从2级开始，你可以用你的引导神力来创造出简易的物品。
你需要花费一小时来完成这个仪式以创造出包含有金属的非魔法物件：一把简易或军用武器、一件护甲、十份弹药、一套工具、或是其他的非魔法物件（参考《玩家手册》的装备一章）。仪式完成后，物件将被在由你周围5尺范围内由你选择的一次未被占据的空间内形成实体。
你创造的物品的价值必须低于100gp。作为仪式的一部分，你必须提供与那物品价值等同的金属物品，这包括了各类钱币。仪式完成时，这些物品会不可逆地变成你创造的物品，甚至会被魔法转化为非金属的部分。
这一仪式可以用于创造包括金属的非魔法物品的复制品，例如钥匙。不过你必须在仪式过程中持有复制用的原件。</t>
    <phoneticPr fontId="49" type="noConversion"/>
  </si>
  <si>
    <t>从6级开始，你对锻造的精通为你带来特殊的能力：
• 你获得火焰伤害的抗性。
• 穿着重甲期间，你的ac获得+1加值。</t>
    <phoneticPr fontId="49" type="noConversion"/>
  </si>
  <si>
    <t>第8级起，你拥有将你锻造的火热力量灌输到武器打击中的能力。每个你自己的回合一次，当你的武器攻击命中，你可以对目标额外造成1d8的火焰伤害。14级时，该伤害将提升至2d8。</t>
    <phoneticPr fontId="49" type="noConversion"/>
  </si>
  <si>
    <t>第17级起，你受火与金属的联系变得更为紧密：
• 你获得火焰伤害的免疫。
• 穿着重甲期间，你对源于非魔法攻击的钝击，穿刺，挥砍伤害有抗性。</t>
    <phoneticPr fontId="49" type="noConversion"/>
  </si>
  <si>
    <t>锻炉与烈焰的圣徒</t>
    <phoneticPr fontId="49" type="noConversion"/>
  </si>
  <si>
    <t>生死轮回</t>
    <phoneticPr fontId="49" type="noConversion"/>
  </si>
  <si>
    <t>从2级起，你可以使用你的引导神力来抵御外世界生物。
以一个动作，你可以展示你的圣徽，同时你选择一个30尺内能看见或者听见你声音的天界，元素，精类或者邪魔类生物进行一次感知豁免。如果他未通过，他在1分钟之内被驱散直到他受到任何伤害。
一个被驱散的生物必须使用他的回合尽力远离你，并且无法主动靠近你30尺以内。同时他们无法使用反应。在他们行动中，只能使用疾走或者从任何妨碍他们移动的效果中挣脱出来。如果没有任何地方移动，该生物使用闪避动作。
从5级起，如果一个挑战等级小于等于表内数值且不是这个位面原住民的生物在对抗你的奥秘阻绝能力时豁免失败，他将在1分钟之内被放逐（如同驱逐术，但不需要专注）。</t>
    <phoneticPr fontId="49" type="noConversion"/>
  </si>
  <si>
    <t>第1级起，你获得重甲的熟练项。你还获得威吓、或游说技能的熟练项（由你选择）。</t>
    <phoneticPr fontId="49" type="noConversion"/>
  </si>
  <si>
    <t>从6级起，你变得十分擅于引导魔法能量来强迫他人。
如果你用一个1环或更高的法术位施展一个附魔学派的法术，倘若这个法术的施法时间是1动作，你可以在这次施法时将法术的施法时间改为1附赠动作。
你可以使用该特性的次数等于你的感知调整值（最少一次）。完成一次长休后，你将重获其所有消耗掉的使用次数。</t>
    <phoneticPr fontId="49" type="noConversion"/>
  </si>
  <si>
    <t>从8级起，你可以使你的武器充满神圣能量。你的每回合一次，在用一次武器攻击命中某一名生物时，你可以使该攻击造成额外的1d8心灵伤害。当你达到14级时，该伤害提升到2d8。</t>
    <phoneticPr fontId="49" type="noConversion"/>
  </si>
  <si>
    <t>从17级起，在你与盟友的共同努力下，你们所面对的敌人必将被毁灭。你回合内对一名生物造成了神圣打击的伤害后，你可以诅咒该生物。下一次当你的一名盟友以一次攻击命中被诅咒的生物时，目标将额外受到2d8心灵伤害，随后诅咒结束。你一回合只能以这种方式诅咒生物一次，且没有使用的诅咒将在你的下回合的开始时消失。</t>
    <phoneticPr fontId="49" type="noConversion"/>
  </si>
  <si>
    <t>从1级起，你创造出一条力量的联结，联系彼此之间和平相处的人。以一个动作，你可以选择你周围30尺范围内等同于你熟练加值数量的自愿生物（可以包括你自己）。你在他们之间创造出一条持续10分钟的魔法联结。当任一联结生物的30尺范围内存在另一个或多个被联结的生物时，在他进行的攻击检定、属性检定、或豁免检定时，可以额外掷一枚d4并加入那次检定中。每个生物每回合只能因此加一次d4。若你再次使用此特性，上一条魔法联结就会立刻终止。 
你可以使用此特性的次数等同于你的熟练加值，当你完成一次长休时恢复所有使用次数。</t>
    <phoneticPr fontId="49" type="noConversion"/>
  </si>
  <si>
    <t>从2级起，你可以用引导神力来减轻痛苦，慰籍心灵。以一个动作，你可以移动等同于你速度的距离，此次移动不会引发借机攻击。当你在此动作期间移动到了任意其他生物周遭5尺范围内时，你都可以为其恢复2d6+你的感知调整值的生命值（最低1点生命值）。每次你使用这个引导神力时，每个生物只能从其中获得一次治疗。</t>
    <phoneticPr fontId="49" type="noConversion"/>
  </si>
  <si>
    <t>从17级起，你的勇气联结和保护联结的生效范围变为联结生物在彼此60尺内。此外，当生物使用保护联结来为其他人承受伤害时，该生物对那次伤害具有抗性。</t>
    <phoneticPr fontId="49" type="noConversion"/>
  </si>
  <si>
    <t xml:space="preserve">从1级起，你可以看穿最深邃的幽域。你获得300尺的黑暗视觉（或扩展到300尺），在这一范围内，你能够将微光光照视为等同于明亮光照，而在黑暗中则视为等同于微光光照。以一个动作，你可以魔法性的将这个特性分享给你10尺内最多等同于你感知调整值数量（最少1名生物）的可见自愿生物。共享的黑暗视觉持续1小时。一旦你使用此特性后，直到你完成一次长休位置你都不能再次分享视觉，不过你也可以消耗一个任意环阶的法术位来再次分享视觉。 </t>
    <phoneticPr fontId="49" type="noConversion"/>
  </si>
  <si>
    <t>从1级起，夜晚教会了你时刻保持警惕。你能用一个动作触碰一个生物（可以是你自己），并赋予该生物下次先攻检定优势。此增益在该生物骰先攻检定后、或你再次使用此特性时立刻结束。</t>
    <phoneticPr fontId="49" type="noConversion"/>
  </si>
  <si>
    <t>从2级起，你可以引导神力，用柔和的暮光来振作你盟友的精神。
以一个动作，你展示你的圣徽并使自身散发球体暮光。球体以你为中心，其半径为30尺，且其范围内被微光光照充斥。球体跟随你移动并持续存在1分钟，如果你陷入失能或是死亡，它也会提前消失。每当一个生物（包括你）在球体中结束它自己的回合时，你能给予它以下好处之一：
• 使目标获得等同于1d6+你牧师等级点的临时生命。
• 使目标结束一个正使他魅惑或恐慌的效应。</t>
    <phoneticPr fontId="49" type="noConversion"/>
  </si>
  <si>
    <t>从6级起，你使用夜晚的神秘力量来飞上空中。
你使用夜晚的神秘力量来飞上空中。当你处于微光光照或黑暗中时，你能以一个附赠动作用魔法使自己获得等于自身步行速度的飞行速度，持续1分钟。
你可以使用此特性的次数等同于你的熟练加值，当你完成一次长休时重获全部已消耗的使用次数。</t>
    <phoneticPr fontId="49" type="noConversion"/>
  </si>
  <si>
    <t>从8级起，你可以使你的武器充满神圣能量。你在每个自己回合里有一次机会，可以在用武器攻击命中某生物时，使该攻击额外造成1d8点光耀伤害。14级时，该伤害提升到2d8。</t>
    <phoneticPr fontId="49" type="noConversion"/>
  </si>
  <si>
    <t>主职</t>
    <phoneticPr fontId="49" type="noConversion"/>
  </si>
  <si>
    <t>子职</t>
    <phoneticPr fontId="49" type="noConversion"/>
  </si>
  <si>
    <t>主职业</t>
    <phoneticPr fontId="49" type="noConversion"/>
  </si>
  <si>
    <t>兼职1</t>
    <phoneticPr fontId="49" type="noConversion"/>
  </si>
  <si>
    <t>兼职2</t>
    <phoneticPr fontId="49" type="noConversion"/>
  </si>
  <si>
    <t>伤害加值</t>
    <phoneticPr fontId="49" type="noConversion"/>
  </si>
  <si>
    <t>职业特性</t>
    <phoneticPr fontId="49" type="noConversion"/>
  </si>
  <si>
    <t>窃贼套组</t>
    <phoneticPr fontId="49" type="noConversion"/>
  </si>
  <si>
    <t>大使套组</t>
    <phoneticPr fontId="49" type="noConversion"/>
  </si>
  <si>
    <t>地城套组</t>
    <phoneticPr fontId="49" type="noConversion"/>
  </si>
  <si>
    <t>艺人套组</t>
    <phoneticPr fontId="49" type="noConversion"/>
  </si>
  <si>
    <t>探索套组</t>
    <phoneticPr fontId="49" type="noConversion"/>
  </si>
  <si>
    <t>祭司套组</t>
    <phoneticPr fontId="49" type="noConversion"/>
  </si>
  <si>
    <t>学者套组</t>
    <phoneticPr fontId="49" type="noConversion"/>
  </si>
  <si>
    <t>修正</t>
    <phoneticPr fontId="49" type="noConversion"/>
  </si>
  <si>
    <t>生命值小工具</t>
    <phoneticPr fontId="49" type="noConversion"/>
  </si>
  <si>
    <t>生命骰</t>
  </si>
  <si>
    <t>生命骰使用期望</t>
    <phoneticPr fontId="49" type="noConversion"/>
  </si>
  <si>
    <t>额外调整值</t>
    <phoneticPr fontId="49" type="noConversion"/>
  </si>
  <si>
    <t>生命值成长</t>
  </si>
  <si>
    <t>期望值</t>
  </si>
  <si>
    <t>首级</t>
  </si>
  <si>
    <t>总等级</t>
  </si>
  <si>
    <t>是</t>
  </si>
  <si>
    <t>专</t>
    <phoneticPr fontId="49" type="noConversion"/>
  </si>
  <si>
    <t>仪</t>
    <phoneticPr fontId="49" type="noConversion"/>
  </si>
  <si>
    <t>绿：专注 蓝：仪式</t>
    <phoneticPr fontId="49" type="noConversion"/>
  </si>
  <si>
    <t>深海意志</t>
    <phoneticPr fontId="49" type="noConversion"/>
  </si>
  <si>
    <t>施展魔能爆eldritch blast时，你可以将魅力调整值加到其每次命中所造成的伤害中。
先决条件：习得戏法 魔能爆</t>
    <phoneticPr fontId="49" type="noConversion"/>
  </si>
  <si>
    <t>你可以随意以自身为目标施展法师护甲mage armor，且无需消耗法术位和材料成分。</t>
    <phoneticPr fontId="49" type="noConversion"/>
  </si>
  <si>
    <t>你可以随意以自身为目标施展浮空术levitate，且无需消耗法术位和材料成分。
先决条件：第9级</t>
    <phoneticPr fontId="49" type="noConversion"/>
  </si>
  <si>
    <t>你可以随意施展动物交谈speak with animals，且无需消耗法术位。</t>
    <phoneticPr fontId="49" type="noConversion"/>
  </si>
  <si>
    <t>你获得欺瞒和游说技能的熟练项。</t>
    <phoneticPr fontId="49" type="noConversion"/>
  </si>
  <si>
    <t>你可以消耗你的邪术师法术位施展一个强迫术compulsion。你必须完成一次长休才能再次施展该法术。
先决条件：第7级</t>
    <phoneticPr fontId="49" type="noConversion"/>
  </si>
  <si>
    <t>现在你可以把魔法仪式抄录进你的“影之书”。你可以从任意职业法术列表中选择两个1环带仪式标签的法术（两法术可以属于不同法术列表）。所选法术将记录在“影之书”中，且不计入你的已知法术数量内。只要“影之书”在你的手中，你便可以施展所选的仪式法术。你不能通过仪式外的方式施展这些法术，除非你已经通过其他方式习得了这些法术。此外，你还可以把带有仪式描述的邪术师法术作为仪式法术进行施展。
冒险过程中，你还可以添加其他仪式法术到你的“影之书”中。当你发现一个这样的法术时，如果该法术的环阶等于或低于你邪术师等级的一半（向上取整），并且你能抽出时间抄录此法术，则你可以把此法术添加进“影之书”。抄录法术时其每环阶需要花费2小时时间和价值50 gp的珍稀墨水。
先决条件：书之魔契</t>
    <phoneticPr fontId="49" type="noConversion"/>
  </si>
  <si>
    <t>你可以随意施展针对于天界生物、邪魔、或元素生物的怪物定身术hold monster，且无需消耗法术位和材料成分。你必须完成一次长休才能再次对同一生物使用此祈唤。
先决条件：第15级，链之魔契</t>
    <phoneticPr fontId="49" type="noConversion"/>
  </si>
  <si>
    <t>你在黑暗中拥有120尺的可视距离，而无论其属于魔法黑暗还是非魔法黑暗。</t>
    <phoneticPr fontId="49" type="noConversion"/>
  </si>
  <si>
    <t>你可以消耗你的邪术师法术位施展一个困惑术confusion。你必须完成一次长休才能再次施展该法术。
先决条件：第7级</t>
    <phoneticPr fontId="49" type="noConversion"/>
  </si>
  <si>
    <t>你可以随意施展法术侦测魔法detect magic，且无需消耗法术位。</t>
    <phoneticPr fontId="49" type="noConversion"/>
  </si>
  <si>
    <t>施展魔能爆eldritch blast时，射程变为300尺。
先决条件：习得戏法 魔能爆</t>
    <phoneticPr fontId="49" type="noConversion"/>
  </si>
  <si>
    <t>你可以读懂任何文字。</t>
    <phoneticPr fontId="49" type="noConversion"/>
  </si>
  <si>
    <t xml:space="preserve"> 你可以随意施展1环法术虚假生命false life，且无需消耗法术位和材料成分。</t>
    <phoneticPr fontId="49" type="noConversion"/>
  </si>
  <si>
    <t>你用动作触碰一个自愿的类人生物，并与其建立起感官的连接。连接状态持续到你下回合结束时终止。其间，只要你与该生物还处于同一位面中，就可以用动作继续维持连接，使其持续时间延长至你下回合结束时终止。
以所连接生物的感官进行观察时，你将拥有该生物所有的特殊感官收益，但你对于自身所处的环境则视为等同与处于目盲和耳聋状态。</t>
    <phoneticPr fontId="49" type="noConversion"/>
  </si>
  <si>
    <t>你使用契约武器命中某个生物时，额外造成相当于你魅力调整值的黯蚀伤害（最少为1）。
先决条件：第12级，刃之魔契</t>
    <phoneticPr fontId="49" type="noConversion"/>
  </si>
  <si>
    <t>你可以随意施展易容术disguise self，且无需消耗法术位。</t>
    <phoneticPr fontId="49" type="noConversion"/>
  </si>
  <si>
    <t>你可以随意施展变身术alter self，且无需消耗法术位。
先决条件：第15级</t>
    <phoneticPr fontId="49" type="noConversion"/>
  </si>
  <si>
    <t>你可以消耗你的邪术师法术位施展一个元素咒唤术conjure elemental。你必须完成一次长休才能再次施展该法术。
先决条件：第9级</t>
    <phoneticPr fontId="49" type="noConversion"/>
  </si>
  <si>
    <t>你可以消耗你的邪术师法术位施展一个缓慢术slow。你必须完成一次长休才能再次施展该法术。
先决条件：第5级</t>
    <phoneticPr fontId="49" type="noConversion"/>
  </si>
  <si>
    <t>你可以随意施展无声幻影silent image，且无需消耗法术位和材料成分。</t>
    <phoneticPr fontId="49" type="noConversion"/>
  </si>
  <si>
    <t>身处微光或黑暗环境时，你可以使用动作进入隐形，其效应持续至你进行移动、执行动作或执行反应时终止。
先决条件：第5级</t>
    <phoneticPr fontId="49" type="noConversion"/>
  </si>
  <si>
    <t>你可以随意以自身为目标施展跳跃术jump，且无需消耗法术位和材料成分。
先决条件：第9级</t>
    <phoneticPr fontId="49" type="noConversion"/>
  </si>
  <si>
    <t>施展魔能爆eldritch blast时，你可以将被命中的生物沿直线往远离你的方向推动至多10尺。
先决条件：习得戏法 魔能爆</t>
    <phoneticPr fontId="49" type="noConversion"/>
  </si>
  <si>
    <t>你可以消耗你的邪术师法术位施展一个变形术polyorph。你必须完成一次长休才能再次施展该法术。
先决条件：第7级</t>
    <phoneticPr fontId="49" type="noConversion"/>
  </si>
  <si>
    <t>你可以消耗你的邪术师法术位施展一个降咒bestow curse。你必须完成一次长休才能再次施展该法术。
先决条件：第5级</t>
    <phoneticPr fontId="49" type="noConversion"/>
  </si>
  <si>
    <t>你可以消耗你的邪术师法术位施展一个灾祸术bane。你必须完成一次长休才能再施展该法术。</t>
    <phoneticPr fontId="49" type="noConversion"/>
  </si>
  <si>
    <t>当你自身回合内使用契约武器执行攻击动作时，你可以发动两次攻击而非一次。
先决条件：第5级，刃之魔契</t>
    <phoneticPr fontId="49" type="noConversion"/>
  </si>
  <si>
    <t>你可以随意施展秘法眼arcane eye，且无需消耗法术位。
先决条件：第15级</t>
    <phoneticPr fontId="49" type="noConversion"/>
  </si>
  <si>
    <t>只要你与你的魔宠处于同一位面，你就可以用心灵感应与其进行交流，以及使用其感官感知世界。此外，当你通过魔宠的感官感知时，你可以通过魔宠用你自己的声音说话，而不论你的魔宠是否能够说话。
先决条件：链之魔契</t>
    <phoneticPr fontId="49" type="noConversion"/>
  </si>
  <si>
    <t>你可以随意施展法术死者交谈speak with dead，且无需消耗法术位。
先决条件：第9级</t>
    <phoneticPr fontId="49" type="noConversion"/>
  </si>
  <si>
    <t>变形生物以及由幻术和变化系魔法变形的生物在你身边30尺视线范围内时，你将直接看出其真实形态。
先决条件：第15级</t>
    <phoneticPr fontId="49" type="noConversion"/>
  </si>
  <si>
    <t>以一个附赠动作，你周身环绕起外观如同纷飞蚊蝇般的魔法灵光。灵光以你为中心向四周散发5尺距离，其无法穿透全掩护。灵光会一直持续到你陷入 失能Incapacitated 、或以一个附赠动作主动解消它为止。
这一灵光会使你在魅力（威吓）检定具有优势，但你进行的其他任何魅力检定都将具有劣势。任何在灵光内开始其回合的生物，会受到等同于你魅力调整值点的毒素伤害（最低0点伤害）。
使用本祈唤后，直到你完成一次短休或长休前，你都无法再次使用它。
先决条件：第5级</t>
    <phoneticPr fontId="49" type="noConversion"/>
  </si>
  <si>
    <t>你不再需要睡眠，同样不能以任何方式强行陷入睡眠。为了获得长休的益处，你可以在8小时内执行一些轻度活动，像是阅读你的 影之书Book of Shadows 或是放哨之类的。
先决条件：书之魔契</t>
    <phoneticPr fontId="49" type="noConversion"/>
  </si>
  <si>
    <t>每回合一次，当你用契约武器命中一个生物时，你可以消耗一个邪术师法术位，以此对目标造成额外 1d8+每法术位等级1d8 点的力场伤害，如果目标的体型在巨型或以下，则你还可以将他击入 倒地Prone。
先决条件：第5级，刃之魔契</t>
    <phoneticPr fontId="49" type="noConversion"/>
  </si>
  <si>
    <t>以一个动作，你获得可以看穿30尺范围内固态物件的能力。如果你不具有黑暗视觉，你会获得相同范围的黑暗视觉。这种特殊的感官将持续至多1分钟，如果你的专注终止它也会提前终止（如同你正专注于一个法术）。在此期间，你看到的物件都将呈现出影子般的、透明的画面。
使用本祈唤后，直到你完成一次短休或长休前，你都无法再次使用它。
先决条件：第7级</t>
    <phoneticPr fontId="49" type="noConversion"/>
  </si>
  <si>
    <t>你可以在水下呼吸，且你获得等于你步行速度的游泳速度。
此外，你还可以施展一次法术 水下呼吸water breathing ，且无需消耗法术位。完成一次长休后，你重获如此施展该法术的权利。
先决条件：第5级</t>
    <phoneticPr fontId="49" type="noConversion"/>
  </si>
  <si>
    <t>当你被恢复生命值时，只要此时你的魔宠与你之间的距离不超过100尺，所有决定你恢复生命值点数的骰，都被视为骰出了最大值。
先决条件：链之魔契</t>
    <phoneticPr fontId="49" type="noConversion"/>
  </si>
  <si>
    <t>每个你的回合一次，当你用 魔能爆eldritch blast 击中一个生物时，你可以让此生物直线向你移动10尺。
先决条件：习得戏法 魔能爆</t>
    <phoneticPr fontId="49" type="noConversion"/>
  </si>
  <si>
    <t>你可以使用你刃之魔契职业特性召唤出来的任何武器作为你施展邪术师法术的法器使用。
此外，若你的契约武器不是一件在攻击检定与其伤害掷骰上具有加值的魔法武器，你的契约武器在攻击检定与其伤害骰上获得+1加值。
不仅如此，当你塑造新的武器时，你可以塑造出一把短弓、长弓、轻弩、或重弩。
（校对注：不选用此魔能祈唤依旧能将魔法武器的此类武器以及其他远程武器作为你的契约武器使用。）
先决条件：刃之魔契特性</t>
    <phoneticPr fontId="49" type="noConversion"/>
  </si>
  <si>
    <t>每个你的回合一次，当你用 魔能爆eldritch blast 击中一个生物时，你可以使目标的速度降低10尺，持续直至你的下个回合结束。
先决条件：习得戏法 魔能爆eldritch blast</t>
    <phoneticPr fontId="49" type="noConversion"/>
  </si>
  <si>
    <t>以一个附赠动作，你可以向着你的法术 脆弱诅咒hex 或 咒剑诅咒Hexblade's Curse 、凶兆符记Sign of Ill Omen 等邪术师特性所诅咒的目标施加一种精神干扰。此时，你对受咒目标与所有它周围5尺范围内的、由你所选择的生物造成一定心灵伤害，其伤害值等同于 你的魅力调整值 点（最低1点伤害）。使用此祈唤时，你必须能看到诅咒目标，且它与你之间的距离不能超过30尺。
先决条件：第5级，习得法术 脆弱诅咒hex 、或具有可施加诅咒的邪术师特性</t>
    <phoneticPr fontId="49" type="noConversion"/>
  </si>
  <si>
    <t>残酷巫咒</t>
    <phoneticPr fontId="49" type="noConversion"/>
  </si>
  <si>
    <t>你的诅咒为你与受咒目标间建立了短暂的联结。以一个附赠动作，你可以魔法性的传送到你的法术 脆弱诅咒hex 或 咒剑诅咒Hexblade's Curse 、凶兆符记Sign of Ill Omen 等邪术师特性所诅咒的目标，其周围5尺内的一处你可见的且未被占据空间内，传送距离最多30英尺。以此方式进行传送时，你必须能够看到那个受咒目标。
先决条件：第7级，习得法术 脆弱诅咒hex 、或具有可施加诅咒的邪术师特性</t>
    <phoneticPr fontId="49" type="noConversion"/>
  </si>
  <si>
    <t>你可以随意施展 隐形术invisibility法术，且无需消耗法术位。
先决条件：第15级</t>
    <phoneticPr fontId="49" type="noConversion"/>
  </si>
  <si>
    <t>当你受到伤害时，你可以以一个反应将自己封锁在冰墓中，冰墓会在你的下一个回合结束时融解。你得到每邪术师等级10点的临时生命值，此临时生命值会尽可能的去抵消触发本反应的伤害。不过在受到伤害之后，你会立即获得火焰伤害的易伤，且速度降低至0，并且陷入 失能Incapacitated 状态。这些效果，以及剩余的全部临时生命值，都将在冰墓融解时结束。
使用本祈唤后，直到你完成一次短休或长休前，你都无法再次使用它。
先决条件：第5级</t>
    <phoneticPr fontId="49" type="noConversion"/>
  </si>
  <si>
    <t>你可以以自己为目标施展一次 行动自如freedom of movement 法术，且无需消耗法术位。完成一次长休后，你重获如此施展该法术的权利。
先决条件：第7级</t>
    <phoneticPr fontId="49" type="noConversion"/>
  </si>
  <si>
    <t>当除你以外的人佩戴你的护身符时，只要你们存在于同一位面，你可以用一个动作将你传送至它们周围未被占据的空间内。佩戴该护身符的人也能做同样的事，用他们的动作来传送到你身边。该传送能力可使用的次数等于你的熟练加值，且所有已消耗的次数会在你完成一次长休之后完全恢复。
先决条件：第12级邪术师，符之魔契</t>
    <phoneticPr fontId="49" type="noConversion"/>
  </si>
  <si>
    <t>你为保持法术的专注所进行的体质豁免具有优势。</t>
    <phoneticPr fontId="49" type="noConversion"/>
  </si>
  <si>
    <t>一张新的书页出现在你的影之书中。在你的允许之下，一个生物可以使用一个动作来将他的名字写在这一页上，这一页能包括的名字数量等于你的熟练加值。
你可以以一个名字在这一页上的生物为目标，施展法术 短讯术mending ，无需法术位与法术的材料成分。不过，你必须将传讯写在这一页上来施展它。目标将在他们的意识中听到这个传讯，且如果目标回复了传讯，他们的回复将会出现在书页上而不是在你的意识中。这些文字会在一分钟后消失。
你也可以使用一个动作，触摸书页上的一条名字，魔法性的消除它。
先决条件：第5级邪术师，书之魔契</t>
    <phoneticPr fontId="49" type="noConversion"/>
  </si>
  <si>
    <t>一张新的书页出现在你的影之书中。在你的允许之下，一个生物可以使用一个动作来将他的名字写在这一页上，这一页能包括的名字数量等于你的熟练加值。
当一个名字在这一页上的生物生命值降为0，但是没有立刻死亡时，这个生物的生命值魔法性的变为1点。当这个魔法效应被触发后，该效应无法再被任何生物触发，直到你完成一次长休。
你也可以使用一个动作，触摸书页上的一条名字，魔法性的消除它。
先决条件：第9级邪术师，书之魔契</t>
    <phoneticPr fontId="49" type="noConversion"/>
  </si>
  <si>
    <t>当你施展 寻获魔宠find familiar 时，你将一定程度的魔能力量灌注给被召唤的魔宠，给予这个生物以下的能力：
• 该魔宠获得40尺的飞行速度、或40尺的游泳速度（由你选择）。  
• 你可以使用一个附赠动作，指挥你的魔宠进行一次攻击动作。
• 该魔宠的武器攻击被视为魔法性的，用于克服对于非魔法攻击的免疫和抗性。  
• 若该魔宠强迫一个生物进行豁免检定，它使用你的法术豁免DC。  
• 若该魔宠受到伤害，你可以使用你的反应给予它仅对于那次伤害的抗性。
先决条件：链之魔契</t>
    <phoneticPr fontId="49" type="noConversion"/>
  </si>
  <si>
    <t>当佩戴者在一次豁免检定中失败，他们可以在骰掷结果上增加一个d4骰，这可能将结果变为成功。这一能力可使用的次数等于你的熟练加值，在你完成一次长休之后恢复所有已消耗的次数。
先决条件：第7级邪术师，符之魔契</t>
    <phoneticPr fontId="49" type="noConversion"/>
  </si>
  <si>
    <t>当该护符的佩戴者被一个位于你30尺以内你可见的攻击者命中时，你可以使用你的反应来对该攻击者造成等同于你熟练加值的心灵伤害，并将其推离护符佩戴者至多10尺距离。
先决条件：符之魔契</t>
    <phoneticPr fontId="49" type="noConversion"/>
  </si>
  <si>
    <t>你可以在不消耗法术位的情况下使用 活化死尸animate dead 。每当你这么做时，你不能再次以这种形式使用该法术直到你完成一次长休。
先决条件：第5级邪术师</t>
    <phoneticPr fontId="49" type="noConversion"/>
  </si>
  <si>
    <t>集群牧者</t>
  </si>
  <si>
    <t>集群牧者魔法</t>
  </si>
  <si>
    <t>从3级起，如果你之前并未掌握，你学会法师之手戏法，当你施展它的时候，其形式是聚集在一起的自然精魂。
同样，你会在到达指定游侠等级时，学会一个额外的1环或更高环阶的法术，如集群牧者法术列表所示。
这些法术对你视为游侠法术，但它不计入你的已知法术总数中。
3rd
妖火术，法师之手
5th
蛛网术
9th
气化形体
13th
秘法眼
17th
疫病虫群</t>
  </si>
  <si>
    <t>工具精通</t>
    <phoneticPr fontId="49" type="noConversion"/>
  </si>
  <si>
    <t>第3级起，只要你达到相应的职业等级，炼金师法术表格中的法术总是被视为已准备。
这些法术对你来说是奇械师法术，且不会计入你可以准备法术的总数。
奇械师等级 法术
3级 治愈真言，致病射线
5级 炽焰法球，马友夫强酸箭
9级 气化形体，群体治愈真言
13级 枯萎术，防死结界
17级 死云术，死者复活</t>
    <phoneticPr fontId="49" type="noConversion"/>
  </si>
  <si>
    <t xml:space="preserve">第3级起，每当你完成一次长休，你能在一个你接触的空的 扁瓶flask 中魔法性的制造出一瓶实验性灵药通过实验性灵药表来掷骰决定这瓶灵药在被某人饮用时的效果。
生物能以一个动作饮用这瓶灵药、或是将灵药灌给一个失能生物饮用。
你能通过消耗一枚1环或更高环的法术位来制造额外的实验性灵药。
此时，你以一个动作接触一个空的 扁瓶flask ，在其中充入灵药，然后从实验性灵药表中选择这瓶灵药的效果。
你必须要拥有炼金工具才能制造实验性灵药，你通过此特性创造的任何灵药会一直存在，直到被饮用、或是你的下一次长休结束时。
当你在本职业达到某些特定等级时，你将能够在长休结束时制造更多灵药：6级时2瓶，15级时3瓶。
每一瓶灵药都需要掷骰决定效果，且都需要用独立的 扁瓶flask 盛放。
实验性灵药
d6 效果 
1 治疗。饮用者恢复等同于 2d4+你智力调整值 的生命值。 
2 疾速。饮用者的速度增加10尺，持续1小时。 
3 韧性。饮用者的AC获得+1加值，持续10分钟。 
4 气魄。饮用者在接下来的一分钟内，能够在每个攻击检定与豁免检定中投掷一枚d4并将结果加入到检定中。 
5 飞行。饮用者获得10尺飞行速度，持续10分钟。 
6 变形。饮用者的身体产生如同受到法术变身术Alter Self一样的变化。法术的变化具体怎样由饮用者决定，该效果会持续10分钟。 </t>
    <phoneticPr fontId="49" type="noConversion"/>
  </si>
  <si>
    <t>第5级起，你对魔法化学物质的掌握变得非常熟练，这使得你通过炼金物质造成的治疗和伤害更加有效。
当你使用炼金工具作为法器施展任何法术时，你在法术的一次掷骰中获得等同于你的智力调整值（最低+1）的加值。该掷骰必须是恢复的生命值量，或是造成强酸、火焰、黯蚀、或毒素伤害。</t>
    <phoneticPr fontId="49" type="noConversion"/>
  </si>
  <si>
    <t>第9级起，你可以在你的一些作品中加入复原药剂：
• 每当一个生物饮用一瓶你制造的实验性灵药时，生物都将获得 2d6+你智力调整值 的临时生命值（至少1点临时生命点）。
• 只要你使用炼金工具作为你的法器，你就可以在不花费法术位、无需准备的情况下施展 次级复原术Lesser Restoration 。你能够这么做的次数等于你的智力调整值（最少1次），当你完成一次长休后，你恢复所有已被消耗的次数。</t>
    <phoneticPr fontId="49" type="noConversion"/>
  </si>
  <si>
    <t>第15级起，你已经接触了太多的化学物质，并解开了它们的秘密，它们对你的危害很小，你可以使用它们来迅速治愈某些疾病：
• 你获得了对强酸伤害和毒素伤害的抗性，并且你免疫于中毒状态。
• 只要你使用炼金工具作为你的法器，就能够在不消费法术位、不需要准备、不需要材料成分的情况下施展 高级复原术Greater Restoration 与 医疗术heal。一旦你通过此特性施展这些法术中的一个，你就不能再以这种方式施展那个法术，直到你完成一次长休。</t>
    <phoneticPr fontId="49" type="noConversion"/>
  </si>
  <si>
    <t>先决条件：14级奇械师
物品：一套盔甲（需同调）
穿戴者获得以下好处：
穿戴者的步行速度增加5尺。
每一只装甲附带的手套在没有持握任何物品时皆可被视为一件魔法近战武器。
穿戴者熟练于此手套，命中后会造成1d8力场伤害，此手套具有投掷属性，普通射程20尺，最大射程60尺。
投掷时，手套会脱离并飞向攻击目标，然后立即回到穿戴者身上并重新连接。
此盔甲除非你自愿，否则无法移除。
如果你有肢体缺失，装甲能够替换你所有缺失的肢体——手、臂、 脚、腿等，替换肢体的部分拥有和正常肢体一样的功能。</t>
  </si>
  <si>
    <t>物品：一套盔甲（需同调）
此盔甲拥有6发充能。穿戴者能以下列方式消耗充能：
进行力量检定或力量豁免检定时，你能消耗1发充能来获得等于你智力调整值的加值。
当穿着者将被击倒时，以一个反应消耗1发充能，就能避免被击倒。
此盔甲在每天的黎明时会恢复1d6发充能。</t>
  </si>
  <si>
    <t>物品：一根权杖、法杖或是魔杖（需同调）
当持用此物品时，持有者的法术攻击检定获得+1加值，同时在进行法术法术攻击时无视半身掩护。
当你拥有10个奇械师等级时，该加值变成+2。</t>
  </si>
  <si>
    <t>奇械师注法是一种非凡的、能将非魔法物品变成魔法物品的工序。每个注法的描述都会告诉你可以接受它的物品类型，以及所产生的魔法物品是否需要同调的要求。
有些注法规定了最低的奇械师等级。你必须达到那个等级或以上才能学习该注法。
除非注法的描述中写明，否则你无法重复学习同一个注法。</t>
    <phoneticPr fontId="49" type="noConversion"/>
  </si>
  <si>
    <t>先决条件：6级奇械师
物品：一双靴子（需同调）
穿着这双靴子时，那个生物能以一个附赠动作传送到一个距离该生物15尺范围内的可以看到的未占据空间中。不过，该生物必须在本回合内的某个时间点里曾占据过这个空间。</t>
    <phoneticPr fontId="49" type="noConversion"/>
  </si>
  <si>
    <t>先决条件：10级奇械师
物品：一件头盔（需同调）
穿戴此头盔时，那个生物在先攻检定上具有优势。此外，穿戴者只要未处于 失能incapacitated 状态，就无法被突袭。</t>
    <phoneticPr fontId="49" type="noConversion"/>
  </si>
  <si>
    <t>物品：一套盔甲或法袍
这件注法物品能够向穿戴者发送震动，使其能够重新集中专注。此物品具有4发充能，当穿戴者在维持法术专注时所作的一次体质豁免中失败时，穿戴者能够以一个反应，消耗1发充能将结果改为成功。
此物品在每天的黎明时会恢复1d4发已被消耗的充能。</t>
    <phoneticPr fontId="49" type="noConversion"/>
  </si>
  <si>
    <t>先决条件：6级奇械师
物品：一把简易或军用武器（需同调）
在用此魔法武器发动的攻击检定和伤害掷骰获得+1加值。当持握该武器时，持用者能以一个附赠动作让它放出半径30尺的明亮照明以及该范围外30尺范围的昏暗照明。持有者也能以一个附赠动作熄灭武器的光芒。
此武器具有4发充能，当该武器的持有者被近战攻击命中之后，持用者能够立即以一个反应，消耗1发充能让攻击者对抗你的法术豁免DC进行一次体质豁免，若豁免失败，攻击者将陷入 目盲blinded 状态直到他的下个回合结束。此武器在每天的黎明时会恢复1d4发已被消耗的充能。</t>
    <phoneticPr fontId="49" type="noConversion"/>
  </si>
  <si>
    <t>物品：一把具有弹药特性的简单或军用武器（需同调）
在用此魔法武器发动的远程攻击检定和其伤害掷骰上获得+1加值，并且无视其装填特性（若有）。
如果此武器缺乏弹药，则在你持用它发起远程攻击时，它会自动创造一枚独属于它的魔法弹药。此武器创造的弹药在击中目标或失手后都会立即消失。</t>
    <phoneticPr fontId="49" type="noConversion"/>
  </si>
  <si>
    <t>先决条件；6级奇械师
物品：一个盾牌（需同调）
持用这面盾牌时，那个生物的AC获得+1加值
此盾牌有4发充能，当持用者被近战攻击命中后，持用者可以以一个反应消耗一发充能将攻击者击退至多15尺远。该盾牌在每日黎明时会恢复1d4发已被消耗的充能。</t>
    <phoneticPr fontId="49" type="noConversion"/>
  </si>
  <si>
    <t>抗性盔甲</t>
    <phoneticPr fontId="49" type="noConversion"/>
  </si>
  <si>
    <t>先决条件：6级奇械师
物品：一套盔甲（需同调）
穿戴该盔甲的生物对以下伤害类型中的一种具有抗性（在你为这个物品注法时选择）：强酸、冷冻、火焰、力场、闪电、黯蚀、毒素、心灵、光耀、雷鸣。</t>
    <phoneticPr fontId="49" type="noConversion"/>
  </si>
  <si>
    <t>物品：一把带有投掷属性的简易或军用武器
在用此魔法武器发动的攻击检定和伤害掷骰获得+1加值，并在使用它发动远程攻击后，它会立即回到持用者的手中。</t>
    <phoneticPr fontId="49" type="noConversion"/>
  </si>
  <si>
    <t>先决条件：6级奇械师
物品：一枚戒指（需同调）
在佩戴此戒指期间，那个生物能够以一个动作恢复一个已被消耗掉的法术位。被恢复的法术位环阶必须是3环或更低环阶的法术位。一旦使用，此戒指在次日黎明前将无法再次使用。</t>
    <phoneticPr fontId="49" type="noConversion"/>
  </si>
  <si>
    <t>第3级起，你习得了如何制造一个魔法炮台。
使用你的木匠工具或铁匠工具，你能用一个动作在距离你5尺且没被占据的水平空间内魔法性地召唤出一架小型或微型炮台。小型魔能炮台会占据它所在的方格，而微型炮台能用一只手持用。
当你创造炮台后，直到你完成一次长休前你都不能再创造它，或者你也可以通过消耗一个法术位来创造它。
你只能同时拥有一个炮台，在上一个炮台还在的情况下你不能创造第二个炮台。
炮台是一个魔法物件。不论尺寸，它的AC都是18，而其生命值是你奇械师等级的5倍。
它免疫于毒素伤害和心灵伤害。如果它被迫进行属性检定或豁免检定，则将其所有属性都视为10(+0)。如果一个法术 修复术mending 被施展到它身上，它将恢复2d6生命值。炮台在生命值降低到0或1小时后消失。你也可以以一个动作来提早让它消失。
当你制造炮台时，你决定它的外观，以及是否有腿。你还需要决定它的类型——从下方的魔能炮台列表中选择一项。
在你的每个回合中，只要你离炮台不到60尺，你就能以一个附赠动作来使炮台激活。作为该附赠动作的一部分，你还可以引导有腿的炮台步行或攀爬到15尺内的一处未被占据的空间中。
魔能炮台
炮台：描述
投火机：炮台在你指定的一个15尺锥形范围内发射火焰。该区域内的每个生物必须对你的法术豁免DC做一次敏捷豁免检定，如果豁免失败则受到2d8火焰伤害，成功的豁免检定将使伤害减半。火焰会点燃该地区内任何未被穿戴或携带的易燃物品。
力场弩炮：对一个距离炮台120尺以内的生物或物体进行远程法术攻击。击中时，目标受到2d8力场伤害，如果目标是一个生物，它将向远离炮台的方向推开5尺。
防御者：炮台释放出一股正能量，给予它自己和10尺距离内每个你选择的生物1d8+你智力调整值的临时生命值（最低+1）。</t>
    <phoneticPr fontId="49" type="noConversion"/>
  </si>
  <si>
    <t>第15级起，你成为了用魔能炮台构筑阵地的大师。
• 由于你用魔能炮台特性创造的炮台所发出的闪光魔法保护场，你和你的盟友在距离炮台不到10尺的地方有半身掩护。
• 你现在同时拥有二个炮台，你能以一个动作同时制造两台炮台（但使用法术位制造时，每个炮台都要一个法术位），此外，你能够以一个附赠动作来同时激活两个炮台。这二个炮台可以是不同的类型。你在拥有两个炮台时，不能制造第三个炮台。</t>
    <phoneticPr fontId="49" type="noConversion"/>
  </si>
  <si>
    <t>第9级起，你制造的每一门奥法炮台都将拥有更大的破坏力：
• 所有炮台的伤害增加1d8。
• 如果你距离炮台不到60尺，你能以一个动作命令你的炮台自爆。这么做会摧毁炮台，并迫使每一个离它20尺以内的生物对你的法术豁免dc进行一次敏捷豁免检定，若豁免失败，将受到3d8力场伤害，成功的豁免检定将使伤害减半。</t>
    <phoneticPr fontId="49" type="noConversion"/>
  </si>
  <si>
    <t>第5级起，你知道如何把魔杖、法杖或权杖变成一件奥法火器，一个传送你的毁灭性法术的管道。
当你完成一次长休后，你可以用木匠工具在一根魔杖、法杖或权杖上刻印一个特殊印记，从而把它变成你的奥法火器。
印记会一直存在，除非你之后在另一件物品上刻上这种印记，这样的话，之前物体上印记就会消失。
你可以将你的奥法火器作为你奇械师法术的法器。
当你通过奥法火器施放一个奇械师法术时，掷一个d8，你在法术的一次伤害检定中获得与掷骰结果相同的加值。</t>
    <phoneticPr fontId="49" type="noConversion"/>
  </si>
  <si>
    <t>第3级起，只要你达到相应的职业等级，魔炮师法术表格中的法术总是被视为已准备。
这些法术对你来说是奇械师法术，且不会计入你可以准备法术的总数。
奇械师等级 法术
3级 护盾术，雷鸣波
5级 灼热射线，粉碎音波
9级 火球术，风墙术
13级 冰风暴，火墙术
17级 寒冰锥，力墙术</t>
    <phoneticPr fontId="49" type="noConversion"/>
  </si>
  <si>
    <t>你已习得了巨人符文之魔法，这为你带来了如下增益：
• 通晓语言Comprehend Languages。 你习得法术 通晓语言comprehend languages 。你可以无需法术位的施展这个法术一次，之后你必须完成一次长休才能再次以此施展它。你同样可以用任何你拥有的法术位去施展这个法术。
• 符文魔法Rune Magic。 你知晓了一定数量的符文，其数量等同于你的熟练加值的一半（向下取整），从下述的符文法术表中选择它。每当你完成长休时，你都可以将每一个你知晓的符文刻印在非魔法的武器、护甲、一套衣物、或别的什么你触碰的物件。你临时习得与刻印下的符文相关联的那些1环法术（如符文法术表所展示的那样），以此习得的这些法术会伴随着刻印的符文一起，在你完成下一次长休时消失。你可以用任何你拥有的法术位去施展符文给予的这些法术。
• 此外，当你携带或着装刻印符文的物品，你还可以不消耗法术位，无需材料成分的施展与符文相关联的法术一次。当你以此施展了任何一个法术后，直到你完成一次长休为止你都不能再次使用这一项能力。此专长的施法属性为智力、感知、或魅力（选择此专长时选择它）。
每当你等级提升时，你都可以从符文法术表中选择一个不同的符文来替换一个你已知的符文。
符文法术 Rune Spell 符文  法术  
云雾Cloud 云雾术Fog cloud 
死亡Death 致伤术Inflict wounds 
飞龙Dragon 繁彩球Chromatic orb 
仇敌Enemy 易容术Disguise self 
火焰Fire 燃烧之手Burning hands 
友谊Friend 动物交谈Speak with animals 
寒霜Frost 艾嘉西斯之铠Armor of Agathys 
山丘Hill 神莓术Goodberry 
旅途Journey 大步奔行Longstrider 
君王King 命令术Command 
山脉Mountain 纠缠术Entangle 
岩石Stone 庇护术Sanctuary  
风暴Storm 雷鸣波Thunderwave  
先决条件: 施法特性或 符文雕刻者Rune Carver 背景</t>
    <phoneticPr fontId="49" type="noConversion"/>
  </si>
  <si>
    <t>敏捷加值</t>
    <phoneticPr fontId="49" type="noConversion"/>
  </si>
  <si>
    <t>属性</t>
    <phoneticPr fontId="49" type="noConversion"/>
  </si>
  <si>
    <t>10+感知调整值+敏捷调整值</t>
    <phoneticPr fontId="49" type="noConversion"/>
  </si>
  <si>
    <t>10+体质调整值+敏捷调整值</t>
    <phoneticPr fontId="49" type="noConversion"/>
  </si>
  <si>
    <t>10+魅力调整值+敏捷调整值</t>
    <phoneticPr fontId="49" type="noConversion"/>
  </si>
  <si>
    <t>隐匿劣势</t>
    <phoneticPr fontId="49" type="noConversion"/>
  </si>
  <si>
    <t>隐匿劣势，力量需求13</t>
    <phoneticPr fontId="49" type="noConversion"/>
  </si>
  <si>
    <t>隐匿劣势，力量需求15</t>
    <phoneticPr fontId="49" type="noConversion"/>
  </si>
  <si>
    <t>-</t>
    <phoneticPr fontId="49" type="noConversion"/>
  </si>
  <si>
    <t>徒手打击</t>
    <phoneticPr fontId="49" type="noConversion"/>
  </si>
  <si>
    <t>力量</t>
    <phoneticPr fontId="49" type="noConversion"/>
  </si>
  <si>
    <t xml:space="preserve"> </t>
    <phoneticPr fontId="49" type="noConversion"/>
  </si>
  <si>
    <t>舞蹈诗</t>
    <phoneticPr fontId="49" type="noConversion"/>
  </si>
  <si>
    <t>智能壁垒</t>
  </si>
  <si>
    <t>天界召唤术</t>
    <phoneticPr fontId="49" type="noConversion"/>
  </si>
  <si>
    <t>寻获魔宠</t>
  </si>
  <si>
    <t xml:space="preserve">• 你召唤3只使用你所选择的动物精魂外貌的临时魔宠。每只魔宠所使用的规则与动物精魂外貌选项与寻获魔宠find familiar相同。该法术所召唤的所有魔宠都必须属于同一生物种类（天界生物，精类生物，邪魔；你的选择）。如果你已经以寻获魔宠find familiar或类似方式召唤一个魔宠，则你以该法术召唤的魔宠数量减少一个。
• 该法术召唤的魔宠可以与你进行心灵交流且当它们在你1英里范围内时可以与你分享它们的视觉或听觉感官。
• 当你施展施法距离为触及的法术时，该法术所召唤的其中一名魔宠可以如常传递法术。然而每回合你只能通过一只魔宠传递一次触及法术。
• 升环施法效应：使用3环或更高法术位施展该法术时，你的法术位每比2环高一环，你可以召唤一只额外的魔宠。
</t>
  </si>
  <si>
    <t>操控混沌</t>
    <phoneticPr fontId="49" type="noConversion"/>
  </si>
  <si>
    <t>第14级起，你获得了对狂野魔法涌动的些微掌控。你每次骰狂野魔法浪涌效果时，可以骰两次检定再自选其一生效。</t>
    <phoneticPr fontId="49" type="noConversion"/>
  </si>
  <si>
    <t>半血裔</t>
    <phoneticPr fontId="49" type="noConversion"/>
  </si>
  <si>
    <t>巫咒之子</t>
    <phoneticPr fontId="49" type="noConversion"/>
  </si>
  <si>
    <t>重生者</t>
    <phoneticPr fontId="49" type="noConversion"/>
  </si>
  <si>
    <t xml:space="preserve">—— </t>
    <phoneticPr fontId="49" type="noConversion"/>
  </si>
  <si>
    <t>• 你召来一只野兽的灵魄。此灵魄在施法距离内你可见的一个未占据位置化为实体。这一实体使用下面的野兽灵魄Aberrant Spirit的数据。当你施展法术时，从天空Air，陆地Land或海洋Water中选择一个环境。此生物的外形属于你所选环境的一种动物，其资料表中的部分特性也受此影响。当其生命值降到0或法术结束时，生物消失。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升环施法效应：使用3环或更高法术位施展该法术时，该生物数据中使用更高的法术环阶。
野兽灵魄 Bestial Spirit
小型野兽
AC：11+法术环阶（天生护甲)
HP：20（仅限天空）或30（仅限陆地和海洋）+5每比2环高的法术环阶
速度：30尺，攀爬30尺（仅限陆地），飞行60尺（仅限天空），游泳30尺（仅限海洋）
力量18（+4）  敏捷11（+0） 体质16（+3）
智力4（-4)   感知14（+2）  魅力5（-3）
感官：黑暗视觉60尺，被动察觉12
语言：懂你说的语言
挑战等级：—
熟练加值：与你相等
飞掠Flyby（仅限天空）。野兽以飞行离开敌人的触及范围时不会引发对方的借机攻击。
集群战术Pack Tactics（仅限陆地和海洋）。野兽至少有一个未处于失能的盟友在目标生物5尺内时，它对该生物发动的攻击检定有优势。
水下呼吸Water Breath（仅限海洋）。野兽可以在空气和水下呼吸
动作
多重攻击Multiattack。野兽发动等同于法术环阶一半的次数的攻击（向下取整）。
撕咬Maul。近战武器攻击：命中+你的法术攻击调整值，触及5尺，单一目标。伤害：1d8+4+法术环阶点穿刺伤害。</t>
  </si>
  <si>
    <t>水下呼吸</t>
  </si>
  <si>
    <t>• 选择一个你可以施展的5环或更低环阶法术，该法术的施法时间必须为1动作，且必须能够以你自身为目标。你以“随因法术”的形式施展该法术，即将其作为所施展触发术的一部分，并且同时消耗该法术与触发术的法术位。该随因法术并不立即生效，而是在特定状况发生时才触发其效应。你在施展这两个法术时，必须描述该触发状况的细节。例如，触发术与水下呼吸一起施放可以确保水下呼吸 Water Breathing可以在你被水或其他液体淹没时自动触发其效应。
• 随因法术的效应在相应状况第一次出现时立即生效，而无论你是否想要这么做，在这之后触发术终止。
• 随因法术只能对你起作用，哪怕它通常可以指定其他目标现在也无法再作指定。你一次只能使用一个触发术，如果你在已施放该法术时再次施展该法术，则前一个触发术的效应立即终止。另外，当触发术的材料成分不在你的角色身上时，其法术效应也将立即终止。</t>
  </si>
  <si>
    <t>元素灾厄</t>
  </si>
  <si>
    <t>变体：法术值 Variant: Spell Points
　　改变职业感觉的一种方法是改变它使用法术的方式。在该变体系统下，一名具有“施法”特性的角色将使用法术值而不是法术位来作为法术的资源。法术值给予施法者更大的灵活性，却以复杂化为代价。
　　在该变体下，每个法术都有一个基于其环阶的成本值。表格“法术值消耗”总结了从1到9环阶法术的对应法术值成本。戏法不需要法术位因此也不需要消耗法术值。
　　你将获取一定数量的法术值代替所获得的各种法术位。随后，你将花费一定数量的法术值来创建一个指定环阶的法术位，然后使用该法术位来施展一个法术。你不能把你的法术值降低到少于0的数值，完成一次长休后，你将重新恢复所有已消耗的法术值。
　　6环或更高环阶的法术施法时耗费巨大。你可以使用法术值来创建一个6环或更高环阶的法术位。但此后直至完成一次长休前，你将无法再以此创造同样水平的法术位。
　　你需要使用的法术值的总量基于你的施法者等级，如表格“等级对应法术值”所示。你的等级同时也决定了你能创造的最高环阶法术位。而即使你可能有足够的法术值来创造高于该最大值的法术位，你也无法这样做。
　　表格“等级对应法术值”适用于吟游诗人、牧师、德鲁伊、术士和法师。当用于圣武士或游侠时，必须将角色的等级减半后再对应该表。而用于战士（奥法骑士Eidritch Knight）或游荡者（诡术师Arcane Trickster）时，则先将角色的等级除以三。
　　该系统也可以用于使用法术位施法的怪物，但并不推荐。事实上，跟进一只怪物的法术值其实相当麻烦。
法术值消耗Spell Point Cost
法术环阶　　 消耗值 
1环　　　　　　2
2环　　　　　　3
3环　　　　　　5
4环　　　　　　6
5环　　　　　　7
6环　　　　　　9
7环　　　　　　10
8环　　　　　　11
9环　　　　　　13
等级对应法术值Spell Points by Level
职业等级　　法术值　　最大法术环阶
1st　　　　  4　　　　   1环
2nd　　　　 6　　　　   1环
3rd　　　　 14　　　　  2环
4th　　　　 17　　　　  2环
5th　　　　 27　　　　  3环
6th　　　　 32　　　　  3环
7th　　　　 38　　　　  4环
8th　　　　 44　　　　  4环
9th  　　　　57　　  　　5环
10th　　　　64　  　　　5环
11th　　　　73　　  　　6环
12th　　　　73　　  　　6环
13th　　　　83　　  　　7环
14th　　　　83　　  　　7环
15th　　　　94　　  　　8环
16th　　　　94　　　  　8环
17th　　　　107　　　　9环
18th　　　　114　　　　9环
19th　　　　123　　　　9环
20th　　　　133　　　　9环</t>
    <phoneticPr fontId="49" type="noConversion"/>
  </si>
  <si>
    <t>1分钟</t>
    <phoneticPr fontId="49" type="noConversion"/>
  </si>
  <si>
    <t>10分钟</t>
    <phoneticPr fontId="49" type="noConversion"/>
  </si>
  <si>
    <t>1小时</t>
    <phoneticPr fontId="49" type="noConversion"/>
  </si>
  <si>
    <t>12小时</t>
    <phoneticPr fontId="49" type="noConversion"/>
  </si>
  <si>
    <t>24小时</t>
    <phoneticPr fontId="49" type="noConversion"/>
  </si>
  <si>
    <t>死灵</t>
    <phoneticPr fontId="49" type="noConversion"/>
  </si>
  <si>
    <t>O</t>
  </si>
  <si>
    <t>语言</t>
    <phoneticPr fontId="49" type="noConversion"/>
  </si>
  <si>
    <t>熟练工具</t>
    <phoneticPr fontId="49" type="noConversion"/>
  </si>
  <si>
    <t>盟友 / 协力者 Sidekicks</t>
  </si>
  <si>
    <t>姓名</t>
  </si>
  <si>
    <t>CR</t>
  </si>
  <si>
    <t>关系</t>
  </si>
  <si>
    <t>性别</t>
  </si>
  <si>
    <t>相识地</t>
  </si>
  <si>
    <t>类型</t>
  </si>
  <si>
    <t>临时HP</t>
  </si>
  <si>
    <t>职业</t>
  </si>
  <si>
    <t>盟友画像 / 描述</t>
  </si>
  <si>
    <t>感官</t>
  </si>
  <si>
    <t>动作</t>
  </si>
  <si>
    <t>盟友故事</t>
  </si>
  <si>
    <t>修订者</t>
  </si>
  <si>
    <t>似雨悲灵</t>
  </si>
  <si>
    <r>
      <rPr>
        <sz val="11"/>
        <color theme="1"/>
        <rFont val="Times New Roman"/>
        <family val="1"/>
      </rPr>
      <t>QQ</t>
    </r>
    <r>
      <rPr>
        <sz val="11"/>
        <color theme="1"/>
        <rFont val="宋体"/>
        <family val="3"/>
        <charset val="134"/>
      </rPr>
      <t>：763369713</t>
    </r>
  </si>
  <si>
    <t>反馈兼交流群：712629131</t>
  </si>
  <si>
    <r>
      <rPr>
        <b/>
        <sz val="14"/>
        <color theme="1"/>
        <rFont val="宋体"/>
        <family val="3"/>
        <charset val="134"/>
      </rPr>
      <t>也欢迎联系我反馈</t>
    </r>
    <r>
      <rPr>
        <b/>
        <sz val="14"/>
        <color theme="1"/>
        <rFont val="Times New Roman"/>
        <family val="1"/>
      </rPr>
      <t>bug</t>
    </r>
    <r>
      <rPr>
        <b/>
        <sz val="14"/>
        <color theme="1"/>
        <rFont val="宋体"/>
        <family val="3"/>
        <charset val="134"/>
      </rPr>
      <t>或增加新功能</t>
    </r>
  </si>
  <si>
    <t>个人据点</t>
  </si>
  <si>
    <t>据点名称</t>
  </si>
  <si>
    <t>据点位置</t>
  </si>
  <si>
    <t>据点描述</t>
  </si>
  <si>
    <t>据点1</t>
  </si>
  <si>
    <t>据点2</t>
  </si>
  <si>
    <t>物品名称</t>
  </si>
  <si>
    <t>物品描述</t>
  </si>
  <si>
    <t>币种</t>
  </si>
  <si>
    <t>来源</t>
  </si>
  <si>
    <r>
      <rPr>
        <sz val="11"/>
        <color theme="1"/>
        <rFont val="宋体"/>
        <family val="3"/>
        <charset val="134"/>
      </rPr>
      <t>等级</t>
    </r>
  </si>
  <si>
    <r>
      <rPr>
        <sz val="11"/>
        <color theme="1"/>
        <rFont val="Times New Roman"/>
        <family val="1"/>
      </rPr>
      <t>1</t>
    </r>
    <r>
      <rPr>
        <sz val="11"/>
        <color theme="1"/>
        <rFont val="宋体"/>
        <family val="3"/>
        <charset val="134"/>
      </rPr>
      <t>环</t>
    </r>
  </si>
  <si>
    <r>
      <rPr>
        <sz val="11"/>
        <color theme="1"/>
        <rFont val="Times New Roman"/>
        <family val="1"/>
      </rPr>
      <t>2</t>
    </r>
    <r>
      <rPr>
        <sz val="11"/>
        <color theme="1"/>
        <rFont val="宋体"/>
        <family val="3"/>
        <charset val="134"/>
      </rPr>
      <t>环</t>
    </r>
  </si>
  <si>
    <r>
      <rPr>
        <sz val="11"/>
        <color theme="1"/>
        <rFont val="Times New Roman"/>
        <family val="1"/>
      </rPr>
      <t>3</t>
    </r>
    <r>
      <rPr>
        <sz val="11"/>
        <color theme="1"/>
        <rFont val="宋体"/>
        <family val="3"/>
        <charset val="134"/>
      </rPr>
      <t>环</t>
    </r>
  </si>
  <si>
    <r>
      <rPr>
        <sz val="11"/>
        <color theme="1"/>
        <rFont val="Times New Roman"/>
        <family val="1"/>
      </rPr>
      <t>4</t>
    </r>
    <r>
      <rPr>
        <sz val="11"/>
        <color theme="1"/>
        <rFont val="宋体"/>
        <family val="3"/>
        <charset val="134"/>
      </rPr>
      <t>环</t>
    </r>
  </si>
  <si>
    <r>
      <rPr>
        <sz val="11"/>
        <color theme="1"/>
        <rFont val="Times New Roman"/>
        <family val="1"/>
      </rPr>
      <t>5</t>
    </r>
    <r>
      <rPr>
        <sz val="11"/>
        <color theme="1"/>
        <rFont val="宋体"/>
        <family val="3"/>
        <charset val="134"/>
      </rPr>
      <t>环</t>
    </r>
  </si>
  <si>
    <r>
      <rPr>
        <sz val="11"/>
        <color theme="1"/>
        <rFont val="Times New Roman"/>
        <family val="1"/>
      </rPr>
      <t>6</t>
    </r>
    <r>
      <rPr>
        <sz val="11"/>
        <color theme="1"/>
        <rFont val="宋体"/>
        <family val="3"/>
        <charset val="134"/>
      </rPr>
      <t>环</t>
    </r>
  </si>
  <si>
    <r>
      <rPr>
        <sz val="11"/>
        <color theme="1"/>
        <rFont val="Times New Roman"/>
        <family val="1"/>
      </rPr>
      <t>7</t>
    </r>
    <r>
      <rPr>
        <sz val="11"/>
        <color theme="1"/>
        <rFont val="宋体"/>
        <family val="3"/>
        <charset val="134"/>
      </rPr>
      <t>环</t>
    </r>
  </si>
  <si>
    <r>
      <rPr>
        <sz val="11"/>
        <color theme="1"/>
        <rFont val="Times New Roman"/>
        <family val="1"/>
      </rPr>
      <t>8</t>
    </r>
    <r>
      <rPr>
        <sz val="11"/>
        <color theme="1"/>
        <rFont val="宋体"/>
        <family val="3"/>
        <charset val="134"/>
      </rPr>
      <t>环</t>
    </r>
  </si>
  <si>
    <r>
      <rPr>
        <sz val="11"/>
        <color theme="1"/>
        <rFont val="Times New Roman"/>
        <family val="1"/>
      </rPr>
      <t>9</t>
    </r>
    <r>
      <rPr>
        <sz val="11"/>
        <color theme="1"/>
        <rFont val="宋体"/>
        <family val="3"/>
        <charset val="134"/>
      </rPr>
      <t>环</t>
    </r>
  </si>
  <si>
    <t>法术值</t>
  </si>
  <si>
    <t>本职</t>
  </si>
  <si>
    <t>子职</t>
  </si>
  <si>
    <t>全施法者</t>
  </si>
  <si>
    <t>半施法者</t>
  </si>
  <si>
    <t>诡奥</t>
  </si>
  <si>
    <t>施法者等级</t>
  </si>
  <si>
    <t>邪术师等级</t>
  </si>
  <si>
    <t>兼职1</t>
  </si>
  <si>
    <t>附赠动作</t>
  </si>
  <si>
    <t>动作或仪式</t>
  </si>
  <si>
    <t>1分钟或仪式</t>
  </si>
  <si>
    <t xml:space="preserve">——  </t>
    <phoneticPr fontId="49" type="noConversion"/>
  </si>
  <si>
    <t>法术简易速查</t>
  </si>
  <si>
    <t>法术效果</t>
  </si>
  <si>
    <t>法术系别</t>
  </si>
  <si>
    <t>法术成分</t>
  </si>
  <si>
    <t>适用职业</t>
  </si>
  <si>
    <t>酸液飞溅</t>
    <phoneticPr fontId="49" type="noConversion"/>
  </si>
  <si>
    <t>准备数量</t>
    <phoneticPr fontId="49" type="noConversion"/>
  </si>
  <si>
    <t>1/8</t>
  </si>
  <si>
    <t>1/4</t>
  </si>
  <si>
    <t>1/2</t>
  </si>
  <si>
    <t>总财富</t>
  </si>
  <si>
    <t>超载</t>
  </si>
  <si>
    <t>最大载重</t>
  </si>
  <si>
    <t>着装</t>
    <phoneticPr fontId="49" type="noConversion"/>
  </si>
  <si>
    <t>否</t>
    <phoneticPr fontId="49" type="noConversion"/>
  </si>
  <si>
    <t>合计结余</t>
    <phoneticPr fontId="49" type="noConversion"/>
  </si>
  <si>
    <t>10分钟</t>
    <phoneticPr fontId="49" type="noConversion"/>
  </si>
  <si>
    <t>背包4（次元袋）</t>
    <phoneticPr fontId="49" type="noConversion"/>
  </si>
  <si>
    <t>次元袋2</t>
    <phoneticPr fontId="49" type="noConversion"/>
  </si>
  <si>
    <t>自身10尺类，如灵光，触及武器，守护之风</t>
  </si>
  <si>
    <t>自身15尺类，如灵体卫士，黑暗术</t>
  </si>
  <si>
    <t>源点5尺球、柱类，如月华之光</t>
  </si>
  <si>
    <t>直线类，如闪电束</t>
  </si>
  <si>
    <t>15尺</t>
    <phoneticPr fontId="49" type="noConversion"/>
  </si>
  <si>
    <t>45尺</t>
    <phoneticPr fontId="49" type="noConversion"/>
  </si>
  <si>
    <t>75尺</t>
    <phoneticPr fontId="49" type="noConversion"/>
  </si>
  <si>
    <t>90尺</t>
    <phoneticPr fontId="49" type="noConversion"/>
  </si>
  <si>
    <t>以5-10-5移动力的方式计算范围</t>
  </si>
  <si>
    <t>一律作图：DM裁定</t>
  </si>
  <si>
    <t>·</t>
  </si>
  <si>
    <t>锥形类，如燃烧之手，龙息术</t>
  </si>
  <si>
    <t>源点10尺球、柱类，如力场墙</t>
  </si>
  <si>
    <t>大型自身10尺类</t>
  </si>
  <si>
    <t>源点20尺球类，如火球术</t>
  </si>
  <si>
    <t>自身30尺类，如18级灵光</t>
  </si>
  <si>
    <t>源点15尺球类，如黑暗术</t>
  </si>
  <si>
    <t>巨型自身10尺类</t>
  </si>
  <si>
    <t>人物立绘</t>
  </si>
  <si>
    <t>医药</t>
    <phoneticPr fontId="49" type="noConversion"/>
  </si>
  <si>
    <t>游说</t>
    <phoneticPr fontId="49" type="noConversion"/>
  </si>
  <si>
    <t>欺瞒</t>
  </si>
  <si>
    <t>—标准语言—</t>
  </si>
  <si>
    <t>通用手语</t>
  </si>
  <si>
    <t>—稀有语言—</t>
  </si>
  <si>
    <t>法术值</t>
    <phoneticPr fontId="49" type="noConversion"/>
  </si>
  <si>
    <t>动作/8小时</t>
  </si>
  <si>
    <t>反应，于你受到强酸、冷冻、火焰、闪电、或雷鸣伤害时进行</t>
  </si>
  <si>
    <t>反应，你60尺内有生物坠落时可用</t>
  </si>
  <si>
    <t>反应，当60尺内一个你能看见的生物对你造成伤害时执行</t>
  </si>
  <si>
    <t>反应，当你被攻击命中或被作为魔法飞弹的目标时执行</t>
  </si>
  <si>
    <t>反应，当一个于你60尺内且可见的生物成功进行一次攻击检定、属性检定或豁免检定时</t>
  </si>
  <si>
    <t>反应，当你与另一个生物说话时采取</t>
  </si>
  <si>
    <t>反应，当你看见身边60尺范围内一个生物施展法术时执行</t>
  </si>
  <si>
    <t>反应，当你看到一个生物进行一次攻击掷骰或开始施展一个法术时使用</t>
  </si>
  <si>
    <t>反应，于你看见60尺内一个类人生物死去时</t>
  </si>
  <si>
    <t>准备法术</t>
    <phoneticPr fontId="49" type="noConversion"/>
  </si>
  <si>
    <t>符之魔契</t>
    <phoneticPr fontId="49" type="noConversion"/>
  </si>
  <si>
    <t>装甲师</t>
    <phoneticPr fontId="49" type="noConversion"/>
  </si>
  <si>
    <t>从11级起，你可以编织一层灵能面纱来掩盖你。
以一个动作，你连同你所穿或携带的任何东西可以魔法性地隐形至多1小时，或直到你主动解除隐形（无需动作）。
如果你发动攻击或迫使一个生物进行豁免检定，则此隐身状态结束。
一旦你使用了此特性，除非你选择消耗一个灵能骰，否则将无法再次使用，直到你完成一次长休。</t>
    <phoneticPr fontId="49" type="noConversion"/>
  </si>
  <si>
    <t>从13级起，你能让你的念刃直接切削一个生物的心智。
当你使用念刃对一个生物造成偷袭伤害时，你能迫使其进行一次感知豁免检定（DC=8+你的熟练加值+你的敏捷调整值）。
若豁免失败，目标将在一分钟里前陷入震慑。
被震慑的目标可以在他的回合结束时重复豁免，如果成功将会移除这个效果在他身上的影响
一旦你使用了此特性，除非你消耗3个灵能骰否则将无法再次使用，直到你完成一次长休。</t>
    <phoneticPr fontId="49" type="noConversion"/>
  </si>
  <si>
    <t>特性名</t>
  </si>
  <si>
    <t>特性描述</t>
  </si>
  <si>
    <t>背景故事</t>
  </si>
  <si>
    <t>额外伤害</t>
    <phoneticPr fontId="49" type="noConversion"/>
  </si>
  <si>
    <t>背包</t>
    <phoneticPr fontId="49" type="noConversion"/>
  </si>
  <si>
    <t>装备</t>
    <phoneticPr fontId="49" type="noConversion"/>
  </si>
  <si>
    <t>数量</t>
    <phoneticPr fontId="49" type="noConversion"/>
  </si>
  <si>
    <t>账本笔记</t>
    <phoneticPr fontId="49" type="noConversion"/>
  </si>
  <si>
    <t>项目</t>
    <phoneticPr fontId="49" type="noConversion"/>
  </si>
  <si>
    <t>明细</t>
    <phoneticPr fontId="49" type="noConversion"/>
  </si>
  <si>
    <t>类型</t>
    <phoneticPr fontId="49" type="noConversion"/>
  </si>
  <si>
    <t>背景描述</t>
  </si>
  <si>
    <t>背景获利</t>
  </si>
  <si>
    <t>技能熟练</t>
  </si>
  <si>
    <t>背景装备</t>
    <phoneticPr fontId="49" type="noConversion"/>
  </si>
  <si>
    <t>洞悉，察觉</t>
    <phoneticPr fontId="49" type="noConversion"/>
  </si>
  <si>
    <t>一项你自选的乐器或赌具，可能是你故乡本土的东西</t>
    <phoneticPr fontId="49" type="noConversion"/>
  </si>
  <si>
    <t>一套旅行服装，一件你熟练的乐器或一套你熟练的赌具，来自你故乡的一张精密度很差的费伦地图（用以标记出你在何处），一小片价值10GP来自你家乡技艺制作的珠宝，以及一个装有5gp的小包。</t>
    <phoneticPr fontId="49" type="noConversion"/>
  </si>
  <si>
    <t>几乎所有沿着剑湾和北地遇见的所有普通大众和其他种族的人们都有一个共同之处：他们通常会旅行至他们出生地点超过好几里的生活。 
你就是这样的一群人中的一员。
你来自一个遥远的地方，一个如此偏远以至于很多北地的普通大众们都没有知道这个地方的存在，即使你遇到过一些人听说过你的家乡，他们也仅仅是知道名字亦或可能还知道一点点骇人听闻的故事。你由于自己个人的原因来到了费伦大陆现在所处之地，这个原因你也许或未必愿意将它分享给其他人。
虽然你发现这片土地的有着一些冷漠和破败的地方，你也能确信这里的一些人文也有你从前从来没有见过的新鲜之处。你是一个无论走到什么地方都对周围环境中的善良或是邪恶感兴趣的人。</t>
    <phoneticPr fontId="49" type="noConversion"/>
  </si>
  <si>
    <t>从欺瞒、洞悉、游说、隐匿中选择两项</t>
    <phoneticPr fontId="49" type="noConversion"/>
  </si>
  <si>
    <t>从一种赌具、一种乐器、盗贼工具这三项中选择两项</t>
    <phoneticPr fontId="49" type="noConversion"/>
  </si>
  <si>
    <t>一套适合你执勤用的一套服装，以及一个装着 20gp 的小包</t>
    <phoneticPr fontId="49" type="noConversion"/>
  </si>
  <si>
    <t>你在成为冒险者前，生活中就已充满了冲突和兴奋，因为你是依靠追捕他人来赚钱过活。与某些收集赏金之人不同，你并不是个穿越荒野追捕猎物的荒蛮之人。你会在你居住之地参与一宗利润丰厚的买卖，然后一如既往的考验自己的技能与生存本能。此外，你还跟野外的赏金猎人不一样，你并不孤单：你时常与犯罪分子和其他赏金猎人进行互动，并同时游走于这两个区间并以此获取成功。 
你可能是个灵巧的捕快，时刻在屋顶上徘徊，捕捉城里数之不尽的窃贼。你或许是个非常熟悉街道之人，熟悉窃贼行会和街头帮派的所作所为。你可能是个戴“丝绒面具”的赏金猎人，以此混迹上流社会和贵族圈子，并在其中抓捕那掠夺富人之罪犯，而无论其是小偷小贼还是诈骗高手。你所在的社区可能是费伦的大城市之一（比如深水城或博德之门），或者是人口较少的地方（比如路斯坎 Luskan 或雅塔 Yartar），或是任何可能滋生猎物的地点。
作为冒险队伍一员时，你可能会觉得当个人日程与团队目标相左时会出现某些困难。不过从另一角度看，你也可以利用同伴的帮助拿下更可怕的目标。</t>
    <phoneticPr fontId="49" type="noConversion"/>
  </si>
  <si>
    <t>一件你所在组织的标示你军衔的制服，一个用来召唤帮手的号角，一副手铐，以及一个装有10gp的小包</t>
    <phoneticPr fontId="49" type="noConversion"/>
  </si>
  <si>
    <t>当你长大之时，你加入了城市守卫，并且坚定的站在了对抗犯罪的第一线。你并不是一名抵御外来敌人的战士，相反，你是服务于你的城镇，帮助民众们处理罪犯，从犯法者和作恶者们手上保护城市。（未翻译完全，以下是原文） 
You have served the community where you grew up, standing as its first line of defense against crime. You aren't a soldier, directing your gaze outward at possible enemies. Instead, your service to your hometown was to help police its populace, protecting the citizenry from lawbreakers and malefactors of every stripe.
You might have been part of the City Watch of Waterdeep, the baton-wielding police force of the City of Splendors, protecting the common folk from thieves and rowdy nobility alike. Or you might have been one of the valiant defenders of Silverymoon, a member of the Silverwatch or even one of the magic-wielding Spellguard.
Perhaps you hail from Neverwinter and have served as one of its Wintershield watchmen, the newly founded branch of guards who vow to keep safe the City of Skilled Hands.
Even if you're not city-born or city-bred, this background can describe your early years as a member of law enforcement. Most settlements of any size have their own constables and police forces, and even smaller communities have sheriffs and bailiffs who stand ready to protect their community.</t>
    <phoneticPr fontId="49" type="noConversion"/>
  </si>
  <si>
    <t>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t>
    <phoneticPr fontId="49" type="noConversion"/>
  </si>
  <si>
    <t>运动，游说</t>
    <phoneticPr fontId="49" type="noConversion"/>
  </si>
  <si>
    <t>一种赌具，载具（陆运）</t>
    <phoneticPr fontId="49" type="noConversion"/>
  </si>
  <si>
    <t>一套所属佣兵团的制服（质量等同于旅行服装），一块对应你军阶的勋章，你自选的一套赌具，以及一个装着你的上次军饷的小包（10gp ）</t>
    <phoneticPr fontId="49" type="noConversion"/>
  </si>
  <si>
    <t>作为一名会为钱财而战的佣兵，你很熟悉如何以失去生命或肢体为风险赌注投入冒险。现在，你开始期待以冒险者的身份投入对敌战斗中，并以此收获更大的回报。你的经历使你得以熟悉佣兵生活的细节，而你甚至还带着一些在沙场上经历过的悲惨往事。你可能曾服务于某个大集团如散塔林会，或曾经作为“明檀 Mintarn”的士兵服役，你或许还曾经参与过其他一些更小规模的卖剑打手团体，而且可能还在多个团体间辗转。（见“北地的佣兵团”边栏中的一系列范例。） 
你现在正寻求某些其他的东西，也许是打算为所冒风险求得更大的回报，或是决定从此自由的活动。无论出于何种原因，你都决心将曾经作为受雇士兵的生涯抛于脑后，但你掌握的技能仍令你无可否认的适合战斗生涯，因此你仍然在战场里过活，只是以另一种不同的形式参与其中。</t>
    <phoneticPr fontId="49" type="noConversion"/>
  </si>
  <si>
    <t>洞悉，游说</t>
    <phoneticPr fontId="49" type="noConversion"/>
  </si>
  <si>
    <t>一套华丽的服装和一个装有5gp的小包</t>
    <phoneticPr fontId="49" type="noConversion"/>
  </si>
  <si>
    <t>早些时候，你是一名贵族法院或者官场的重要人士。你可能或者不是来自某个上流社会的家族之中；你用你的才能，而不是你出生的背景让你赢得了这个位置。 
你可能是一名银月法庭的政府人员，仆人，或者是随从。亦或你旅行至深水城时被招募成为某个杀手公会，贵族，冒险家或秘密社团的一员。你可能是一个在博德之门或是无冬城维护法纪的幕后工作人员。亦可能成长在匕首滩城堡之中。
即使你已不再是那个给了你生活的开始的组织中的一员，你与以前同事们之间的人际关机可以给你和你冒险伙伴们一些优势。你也可能会和现在新的伙伴们从之前的组织中接到任务。在任何情况下，你曾经作为朝臣的能力会使你在冒险生活中处于更有利的境地。</t>
    <phoneticPr fontId="49" type="noConversion"/>
  </si>
  <si>
    <t>求生，外加从奥秘，历史，宗教中选择一个</t>
  </si>
  <si>
    <t>从赌具或乐器中选择一个</t>
    <phoneticPr fontId="49" type="noConversion"/>
  </si>
  <si>
    <t>你的继承遗产，一套旅行服装，一件你通过这个背景而获得熟练项的工具，外加一个装着 15gp的小包。</t>
    <phoneticPr fontId="49" type="noConversion"/>
  </si>
  <si>
    <t xml:space="preserve">你是一些很有价值的东西的继承者不单单指的是金币或是财富，而是某个单独委托给你的东西。你继承的财产可能是直接是由于你出生就是是你家族中的一员，或者它可能是从你的指导者、老师或者其他在你生命中重要的人那里留下给你的东西，你所得的遗产启示了你，改变了你的生活，指引你走上了冒险的道路，同时它也可能会带来许多的危险，包括哪些窥探你遗产，（用力量，如果需要的话）想把他从你手中夺走的家伙。 </t>
    <phoneticPr fontId="49" type="noConversion"/>
  </si>
  <si>
    <t>游说，外加从奥秘、历史和宗教中适合你骑士团的技能选择一个</t>
    <phoneticPr fontId="49" type="noConversion"/>
  </si>
  <si>
    <t>一种赌具，或一种乐器</t>
    <phoneticPr fontId="49" type="noConversion"/>
  </si>
  <si>
    <t>一件旅行衣服，一个代表你骑士团或是骑士团等级的徽记、旗帜、或印章，以及一个装有10gp的小包。</t>
    <phoneticPr fontId="49" type="noConversion"/>
  </si>
  <si>
    <t>你隶属于某个为达到某个目的而宣誓的骑士团。骑士团的本质目标决定了你宣誓的誓言，在你的眼中看来为达到这目的做出的誓言毫无疑问是光荣而重大并愿意为之努力奋斗的。费伦大陆上有着许许多多的骑士团，所有的骑士团们都有着关于他们行为和责任相似的展望。 
说到“骑士”就会认为是那些穿着重甲，有着贵族血统和骑士精神的高贵战士们，然而在费伦，骑士团们并没有把他们的入会资格限定的如此之高。对目标和理念的追求远远高于成员们装备和战斗风格的限定，因此骑士团中并不会限定战斗方式，并向所有愿意为骑士团理念战斗和献出生命的平民百姓们开放。
“费伦大陆骑士团”边栏更好的介绍了几个在北地活跃的骑士团，可以帮助你决定哪个骑士团让你准备决定为之效忠。</t>
    <phoneticPr fontId="49" type="noConversion"/>
  </si>
  <si>
    <t>洞悉，外加一个你自选的适合你组织的智力、感知、魅力技能</t>
    <phoneticPr fontId="49" type="noConversion"/>
  </si>
  <si>
    <t>一个标示你所属组织的徽章或标志，一份你们组织文件的手抄本（或一份你们组织使用的密文本），一套普通服装，以及一个装有15gp的小包</t>
    <phoneticPr fontId="49" type="noConversion"/>
  </si>
  <si>
    <t>有许多的组织活跃在北地和费伦大陆的表面，他们并不会收到地理位置限制。这些组织会追寻他们的理念，有时候甚至不会遵循政治方面的界限，只要组织认为有必要，任何地点都可以有他们成员的存在。这些组织会雇佣一些听众，造谣者，走私者，佣兵，秘密守护者（那些专门守护为组织所用的财宝或是魔法的守卫们），港口看守，信使等等人员来做一些事情。 一个组织的核心人员们并不只会执行那些小任务，他们会是组织的臂膀、心脏、头脑。 
在你冒险故事的开始（准备阶段），你以某个费伦中特定组织的代理人身份存在。你可能由于你自身公开或私密的目的依靠这个组织和它追寻的理想。成为一个冒险者并不需要你放弃现有加入的组织（虽然你也可以这么做），说不定这段冒险还会提升你在组织中的地位呢。</t>
    <phoneticPr fontId="49" type="noConversion"/>
  </si>
  <si>
    <t>历史，游说</t>
    <phoneticPr fontId="49" type="noConversion"/>
  </si>
  <si>
    <t>一种赌具或一种乐器</t>
    <phoneticPr fontId="49" type="noConversion"/>
  </si>
  <si>
    <t>一套高档服装，一枚玺戒或胸针，一份家系族谱，一袋的高档 兹沙酒zzar 或红酒，以及一个装有 20gp 的小包</t>
    <phoneticPr fontId="49" type="noConversion"/>
  </si>
  <si>
    <t>你是深水城某伟大贵族家族之后裔。作为小心翼翼地守护自己在“光辉之城 City of Splendors”的特权与地位之人类家族，深水的贵族们在整个费伦因其骄奢和富有而享有盛名。 
不管你是这个名声的光辉榜样还是作为该规则的例外，当人们知道你姓氏及其含义时，便会对你有所期待。你投身冒险的理由某种程度上可能与你的家人相关：你是否作为家族异类，喜欢钻到肮脏地下城的舞会里喝一小口 “兹沙 zzar ” ？或是你是为家人的利益而拿起剑与法术，以确保他们能有个有名望之人作为传承？
你要与 DM 一起决定自己所属之家族在深水中有大约七十五个血统，其中的每个家族都保有其自己独特的偏好经济来源、专职和谋划。你可能是家族中的当主一脉的成员，也可能终有一天成为他们的领袖。或者你也可能属于众多表亲血脉其一，而他们的声望较低其负担的责任也更少。</t>
    <phoneticPr fontId="49" type="noConversion"/>
  </si>
  <si>
    <t>运动，求生</t>
  </si>
  <si>
    <t>一种乐器，或一种工匠工具</t>
    <phoneticPr fontId="49" type="noConversion"/>
  </si>
  <si>
    <t>一个狩猎陷阱，标志你忠于乌特加和你部族之图腾的图腾标志或一组纹身，一套旅行服装和一个装着 10gp 的小袋。</t>
    <phoneticPr fontId="49" type="noConversion"/>
  </si>
  <si>
    <t>虽然你可能刚刚才来到文明之地，但在追求霸权的过程中，你对合作与集体努力的价值并不陌生。而你正是以乌斯伽部族成员的身份学会这些原则。 
你的同胞总喜欢坚持老方法。乌斯伽人秉持的传统和禁忌让他们得以在其他王国陷入混乱和毁灭后依然保持强大。但最近几代人里，一些部族的帮众开始想要定居，安于和平、贸易，甚至建起了城镇。也许这就是为何乌斯伽会在那些生活在其神力下之人中竖起其图腾。也许这些人需要被提醒一下自己的真实身份，自己源自何处。“乌斯伽的选民 Chosen of Uthfar”会带领帮众重回旧路，而大多数你的同胞都会放弃软弱的文明转向回归。
你可能在一个已决定定居下来的部族中长大，而你的部族已决定放弃旧的行事方式，但你却依然摇摆不定。或者你也可以是遵循传统的乌斯伽人其中一分子，但你只想通过取得伟大功绩来为自己的部族带来荣耀。
参阅第 2 章的“乌斯伽各地”一节，了解每个部族领地及其活动的详细情况，作为你选择自己归属的参考。</t>
    <phoneticPr fontId="49" type="noConversion"/>
  </si>
  <si>
    <t>历史，外加从奥秘、自然、宗教之中你选择的一项</t>
    <phoneticPr fontId="49" type="noConversion"/>
  </si>
  <si>
    <t>代表你学院的学者长袍，一份书写工具（一个装着羽毛笔，墨水，折叠起来的羊皮纸，一把小拆信刀），一本从学院中借出阅读的书籍，以及一个装着10gp的小包。</t>
    <phoneticPr fontId="49" type="noConversion"/>
  </si>
  <si>
    <t xml:space="preserve">孩提时代，好奇的你与喧闹和孤独为伴。在你成长的岁月中，你发现了一所费伦最伟大的学习学院，你在那里学习，并认为知识是比黄金宝石更为有价值的财富。现在，你已经准备好了离开你的居所-并不是放弃它，而是寻找新的知识来充实它。 
费伦最知名的知识之所是烛堡。这所最伟大的图书馆总是会需要工人和仆人，一些人还会被升格成为拥有重大突出责任等级的角色。你可能是其中一名烛堡的拥有者，致力于做一个完善这个世界的学识体系和历史的管理者。
</t>
    <phoneticPr fontId="49" type="noConversion"/>
  </si>
  <si>
    <t>历史，洞悉</t>
    <phoneticPr fontId="49" type="noConversion"/>
  </si>
  <si>
    <t>一种自选的工匠工具</t>
    <phoneticPr fontId="49" type="noConversion"/>
  </si>
  <si>
    <t>一套你所熟练的工匠工具，一个用来标示出你是从哪个宗族学习何种手工技艺的作者徽记，一套旅行服装，以及一个有5gp的小包和一块价值10gp的宝石。</t>
    <phoneticPr fontId="49" type="noConversion"/>
  </si>
  <si>
    <t>The Stout Folk 以他们的工艺和手工的价值而闻名，而你则一直在接受这门技艺的训练。多年来，你一直在一名矮人大师的门下学习磨练，为的就是今日你所拥有的好技艺。
你很可能是一名矮人，但这并不是必定的——特别是在北地，盾矮人部族们在很久之前就已经学到了只有自傲的傻瓜们才会在意学徒们的手艺会超过自己而拒绝收受徒弟，即使是其他种族的学徒。如果你不是一名矮人，无论如何你必须立下一个庄重的誓言，你在这门工艺上绝不收徒：只因这并非是为非矮人们传承这门摩拉丁青睐的子民们的技艺。不过，你能很轻松的找到一名矮人大师传授你技艺之余，传授被你推荐而来的人们这门技艺。</t>
    <phoneticPr fontId="49" type="noConversion"/>
  </si>
  <si>
    <t>洞悉，威吓</t>
    <phoneticPr fontId="49" type="noConversion"/>
  </si>
  <si>
    <t>一枚俄佐立徽记，一支记载着对你来说非常重要的法律条文的卷轴，一瓶蓝色墨水，一支笔，一套做工精细的衣物，以及一只装有10gp的钱袋（俄佐立发行的1齐诺硬币）</t>
    <phoneticPr fontId="49" type="noConversion"/>
  </si>
  <si>
    <t>残暴的兽行近在咫尺，混乱的势力正在滋长，而唯一能阻止这些灾难发生的就是法律与秩序的基石的具现——俄佐立参议院。你骄傲的成为俄佐立公会的一员，通过参与立法与司法来确保拉尼卡的社会安全而有序的运转。</t>
    <phoneticPr fontId="49" type="noConversion"/>
  </si>
  <si>
    <t>运动，恐吓</t>
    <phoneticPr fontId="49" type="noConversion"/>
  </si>
  <si>
    <t>一种赌具</t>
    <phoneticPr fontId="49" type="noConversion"/>
  </si>
  <si>
    <t>一枚波洛斯徽章，一枚天使的羽毛，一片破碎的波洛斯战旗（一次著名战役中留下来的纪念品），一套便装，以及一个装有2gp的钱袋（两枚波洛斯发行的1齐诺硬币）</t>
    <phoneticPr fontId="49" type="noConversion"/>
  </si>
  <si>
    <t>作为波洛斯教团的一员，你将你的全部生命奉献给对天使的服务以及为拉尼卡带来正义与和平的事业上。你或许会被天使们的行为所鼓舞，经历了艰难困苦，成为波洛斯信念的虔信者，最终为正义事业奉献终生。你也可能是受迫于父母的期盼，被招募官的花言巧语所迷惑，或者是希望干一件惊天动地的大事，因而在波洛斯的军队中一步一步向上爬，最终成为犬儒主义的官僚。</t>
    <phoneticPr fontId="49" type="noConversion"/>
  </si>
  <si>
    <t>欺瞒，隐匿</t>
    <phoneticPr fontId="49" type="noConversion"/>
  </si>
  <si>
    <t>易容工具</t>
    <phoneticPr fontId="49" type="noConversion"/>
  </si>
  <si>
    <t>一枚底密尔徽章，三把小刀，一套黑色的普通衣物，以及这一章里你的第二公会的背景里所描述的初始装备。</t>
    <phoneticPr fontId="49" type="noConversion"/>
  </si>
  <si>
    <t>你是一个间谍。你收集秘密与虚假信息并进行交易。你潜伏在阴影里，渗透进其他公会里，并盗取最宝贵的秘密，无论这些秘密是写在上锁的日记里还是藏在某人的脑海里。甚至你可能毫不关心你所执行的任务背后的任何原因。有时，一个任务的唯一目的就是隐藏在城市的另一个地区进行的另一次袭击背后的动机，又或者只是为了散布恐慌。
作为你在底密尔会堂的隐秘工作的一部分，你可能会伪装成另一个公会的一员。你能够选择你的第二个公会或者投骰来随机决定。你的第二个公会的身份会决定你的一部分初始装备，同时也是你大多数人际交往的来源。</t>
    <phoneticPr fontId="49" type="noConversion"/>
  </si>
  <si>
    <t>自然，求生</t>
  </si>
  <si>
    <t>毒药工具</t>
    <phoneticPr fontId="49" type="noConversion"/>
  </si>
  <si>
    <t>一个葛加理徽章，一套毒药工具，一只宠物甲虫or蜘蛛，一套普通衣物，一个装满了各种钱币总价为10gp的腰包。</t>
    <phoneticPr fontId="49" type="noConversion"/>
  </si>
  <si>
    <t>你是大部落中的一份子——一个不断蔓延生长的有机体的一部分。就像你是群落的一部分一样，整个群落也是更大的生态系统中，那生与死，腐朽与重生之间永不休的循环中的一部分。你的一生就是整个生态系统中的一小片涟漪，活在城市的黑暗中，与各类腐朽破败为伴。葛加理人天性淡漠，他们无惧死亡，也不忌讳死亡，对他们来说，这只是循环中比较激烈的一环罢了。</t>
    <phoneticPr fontId="49" type="noConversion"/>
  </si>
  <si>
    <t>驯兽，运动</t>
    <phoneticPr fontId="49" type="noConversion"/>
  </si>
  <si>
    <t>草药工具</t>
    <phoneticPr fontId="49" type="noConversion"/>
  </si>
  <si>
    <t>一个古鲁徽章，一个打猎陷阱，一套草药工具，一个野猪颅骨，一件兽皮斗篷，一套旅行者衣服，一个包含10gp的腰带（俄佐立1-zion硬币）</t>
    <phoneticPr fontId="49" type="noConversion"/>
  </si>
  <si>
    <t>整个拉尼卡世界都是一个不规则的大都市，但是你是一个在那些仍然存在的旷野区域中的土著，诸如被废弃的街区，瓦砾区，自然生长的公园和摇摇欲坠的废墟。你是那些拼命坚守着古老道途的野蛮社会中的一员。你们奉行着古老的道途——适应自然，充满着原始的愤怒并且为世界充斥着文明的持续进军而忏悔。</t>
    <phoneticPr fontId="49" type="noConversion"/>
  </si>
  <si>
    <t>奥秘，调查</t>
    <phoneticPr fontId="49" type="noConversion"/>
  </si>
  <si>
    <t>任选一种工匠工具</t>
    <phoneticPr fontId="49" type="noConversion"/>
  </si>
  <si>
    <t>一枚伊捷徽章，一套工匠工具，源自一次失败实验的烧焦扭曲的遗骸，一把铁锤，一套滑轮组，一套普通衣物，以及一个装有5gp的钱袋（俄佐立发行的1基诺硬币）。</t>
    <phoneticPr fontId="49" type="noConversion"/>
  </si>
  <si>
    <t>你拥有创造性的智能、对魔法技术的热爱、以及不竭的精力，是伊捷联盟研究工作的积极参与者。虽然你的职业生涯最开始可能只是个侍从，但是你可以立志成为一个熟练的法师或炼金术士，一个实验室的主管，甚至一个手持火焰喷射器负责保卫实验室的焦灼使者。令人着迷的、才华横溢的、雄心勃勃的伊捷是拉尼卡上一股不可预测的混乱力量，而你就是所有这一切品质的缩影。</t>
    <phoneticPr fontId="49" type="noConversion"/>
  </si>
  <si>
    <t>威吓，宗教</t>
    <phoneticPr fontId="49" type="noConversion"/>
  </si>
  <si>
    <t>一枚欧佐夫的徽章，一根由十枚金币组成的一英尺长的链子、法袍、一套精美的衣服，和一个装有1PP(一种欧佐夫铸造价值10锌币)的腰包。</t>
    <phoneticPr fontId="49" type="noConversion"/>
  </si>
  <si>
    <t>拥有巨额财富的前景，是加入欧佐夫集团成员的希望。这个行会的所有努力都是为了将财富从拉尼卡社会输送到欧佐夫家族，并将战利品集中在最高阶层。作为这个系统的一名工作人员，你最大的希望是尽可能多地索取通过你手中的钱财，这样你就可以通过自己的努力获得更重要的地位。
不管你的过去和你家庭的财富。在你证明自身的价值之前，你在公会的初始状态是接近底部的。</t>
    <phoneticPr fontId="49" type="noConversion"/>
  </si>
  <si>
    <t>特技，表演</t>
    <phoneticPr fontId="49" type="noConversion"/>
  </si>
  <si>
    <t>一种乐器</t>
    <phoneticPr fontId="49" type="noConversion"/>
  </si>
  <si>
    <t>一个拉铎司徽章，一把乐器（你选择的），一套戏服，一个由铸铁制成的灯罩，10尺长的满是钉刺的链条一盒火柴，10个火把，一套普通的衣服，一个包含10gp的腰带（俄佐立1-zion硬币），一瓶红色的甜果汁。</t>
    <phoneticPr fontId="49" type="noConversion"/>
  </si>
  <si>
    <t>你本质上是一个艺人，一个有戏剧天赋和对聚光灯的热爱的表演者。你已经花了多年时间磨练你的技艺，掌握了一套要求很高的技能，这样你就可以华丽地表演它们，让它们看起来很容易。疯狂的掌声，人群的尖叫，混乱和恐怖蔓延到大街上——这就是你活着的目的。
你也是一个崇拜一个喜欢暴力和混乱的古老恶魔的信徒。正因如此你的最高愿望就是用自己的表演取悦亵渎者、暴动之王。</t>
    <phoneticPr fontId="49" type="noConversion"/>
  </si>
  <si>
    <t>自然，游说</t>
    <phoneticPr fontId="49" type="noConversion"/>
  </si>
  <si>
    <t>一种工匠工具或是乐器</t>
    <phoneticPr fontId="49" type="noConversion"/>
  </si>
  <si>
    <t>一枚瑟雷尼亚徽记，一套医疗包，长袍，一套便装，以及一个装有5GP（俄佐立发型的1齐诺硬币）的钱袋。</t>
    <phoneticPr fontId="49" type="noConversion"/>
  </si>
  <si>
    <t>你是一个建立在和谐理想的基础上的，受祝福的社区的一员。在这里，自然与文明和谐共存，按照世界之魂太瑟雷尼亚的意志生存成长。作为瑟雷尼亚盟会的一员，你的周围是和你有着同样世界观，并渴望与世界建立更深层次的精神交流的其他人和生物，而你也热切渴望与拉尼卡分享你的快乐经历。此外，你也同样致力于和盟会的其他成员一起对抗其他公会的野心——必要时会使用武力。</t>
    <phoneticPr fontId="49" type="noConversion"/>
  </si>
  <si>
    <t>奥秘，医疗</t>
    <phoneticPr fontId="49" type="noConversion"/>
  </si>
  <si>
    <t>一枚析米克徽章，一套平民服饰，一本研究笔记，一支钢笔，一瓶乌贼墨汁，一瓶油(由鲸脂制成)，一瓶酸(从消化液中提取)，一瓶鱼鳞，一瓶海藻，一瓶水母刺，一瓶不明黏液，一个装有10gp(或俄佐立发行的1基诺zino硬币)的袋子。</t>
  </si>
  <si>
    <t>想象一个完美的世界:自然与文明和谐共存，相互适应;生命与环境被塑造得和谐相称。这就是你一直试图在析米克联合的实验室中塑造的世界。自然是关于适应、进化和平衡的——但是为了跟上文明的发展脚步，自然需要生机师和地貌塑师的帮助。如果在这个过程中，你碰巧创造了超级士兵和变异怪物，使得它们可以增强析米克联合对其他公会的计划和野心的防御，那就更好不过了。</t>
    <phoneticPr fontId="49" type="noConversion"/>
  </si>
  <si>
    <t>调查，游说</t>
    <phoneticPr fontId="49" type="noConversion"/>
  </si>
  <si>
    <t>炼金工具和修补工具</t>
  </si>
  <si>
    <t>一套高档服装，一枚家徽玺戒，一份身份证明和一个装有20枚金币的钱包。</t>
    <phoneticPr fontId="49" type="noConversion"/>
  </si>
  <si>
    <t>你宣誓效忠于其中一个龙纹家族——一个在科瓦雷呼风唤雨的巨型商业行会。如果你有龙纹，那么你就有可能是出身于在家族中拥有相当影响力的家庭，或者你也有可能是一名希望通过与家族合作来赚取金钱的外人。你主要的任务是成为家族的眼睛，观察和收集有用的信息。但是，你也会被随时征召，成为家族的手。这样的任务通常很危险，但也会有相应的回报。</t>
    <phoneticPr fontId="49" type="noConversion"/>
  </si>
  <si>
    <t>一种赌博工具和载具（陆运）</t>
  </si>
  <si>
    <t>一套高档服装，一枚家徽玺戒，一份身份证明和一个装有21枚金币的钱包。</t>
  </si>
  <si>
    <t>酿酒工具和厨师工具</t>
  </si>
  <si>
    <t>一套高档服装，一枚家徽玺戒，一份身份证明和一个装有22枚金币的钱包。</t>
  </si>
  <si>
    <t>炼金工具和草药工具</t>
  </si>
  <si>
    <t>一套高档服装，一枚家徽玺戒，一份身份证明和一个装有23枚金币的钱包。</t>
  </si>
  <si>
    <t>修补工具和盗贼工具</t>
  </si>
  <si>
    <t>一套高档服装，一枚家徽玺戒，一份身份证明和一个装有24枚金币的钱包。</t>
  </si>
  <si>
    <t>载具（空运/海运）和领航工具</t>
  </si>
  <si>
    <t>一套高档服装，一枚家徽玺戒，一份身份证明和一个装有25枚金币的钱包。</t>
  </si>
  <si>
    <t>盗贼工具和易容工具</t>
  </si>
  <si>
    <t>一套高档服装，一枚家徽玺戒，一份身份证明和一个装有26枚金币的钱包。</t>
  </si>
  <si>
    <t>载具（陆运）和一种赌博工具</t>
  </si>
  <si>
    <t>一套高档服装，一枚家徽玺戒，一份身份证明和一个装有27枚金币的钱包。</t>
  </si>
  <si>
    <t>易容工具和一种乐器</t>
  </si>
  <si>
    <t>一套高档服装，一枚家徽玺戒，一份身份证明和一个装有28枚金币的钱包。</t>
  </si>
  <si>
    <t>书法工具和文书伪造工具</t>
  </si>
  <si>
    <t>一套高档服装，一枚家徽玺戒，一份身份证明和一个装有29枚金币的钱包。</t>
  </si>
  <si>
    <t>领航工具和一种赌博工具</t>
  </si>
  <si>
    <t>一套高档服装，一枚家徽玺戒，一份身份证明和一个装有30枚金币的钱包。</t>
  </si>
  <si>
    <t>制毒工具和一种乐器</t>
  </si>
  <si>
    <t>一套高档服装，一枚家徽玺戒，一份身份证明和一个装有31枚金币的钱包。</t>
  </si>
  <si>
    <t>载具（陆运）和草药工具</t>
  </si>
  <si>
    <t>一套高档服装，一枚家徽玺戒，一份身份证明和一个装有32枚金币的钱包。</t>
  </si>
  <si>
    <t>欺瞒，洞悉</t>
    <phoneticPr fontId="49" type="noConversion"/>
  </si>
  <si>
    <t>一种赌具，一个幸运护身符，一套高档服装，以及一个装有15gp的腰包</t>
  </si>
  <si>
    <t>制造大量黄金只需要一点点黄金。而在你根本不需要金子的时候，不论多少都是一点点。无论你是一个好赌徒还是一个坏赌徒都无关紧要，因为没有人能预测到幸运女神的奇想。有时你会成功，有时你会失败。但是赌博的问题就是，总有人愿意打赌。</t>
  </si>
  <si>
    <t>一种工匠工具</t>
    <phoneticPr fontId="49" type="noConversion"/>
  </si>
  <si>
    <t>一组工匠工具、商用天秤、一套高级服装、包含10gp的腰包。</t>
  </si>
  <si>
    <t>也许你来自一个长线的商人队伍。也许你是个企业家。不管怎样，你的冒险以失败告终。无论是由于外界的影响、运气不好，还是仅仅因为你的商业头脑不够敏锐，你失去了一切。
然而，伴随着失败而来的是经验。你摆脱了过去的生活，建立了一些联系，吸取了教训。准备好追求冒险家的生活，你对商业世界的洞察力将你带入了一个艾奎兹玄有限责任公司的领域—你的未来可能会有一个特许经营。</t>
  </si>
  <si>
    <t>察觉，表演</t>
    <phoneticPr fontId="49" type="noConversion"/>
  </si>
  <si>
    <t>易容工具，一套高级服装和一个30gp的腰包</t>
  </si>
  <si>
    <t>你的姓氏引起普罗大众心里的敬畏——但这和你毫不相干。歌颂你声名显赫的父母冒险功绩的歌曲与传奇妇孺皆知。这片大地的孩子们都在成为你的愿望里长大。但是著名冒险家的孩子的生活并不总是充满拥抱与亲吻。
你很少与你的探险家父母见面，而当你在他们身边时，又只是充斥着他们除这个魔或者屠那个龙的故事。你总是被人从酣睡中吵醒，那个人在屋子外尖声通报着新的，或聚落，或地区，或是世界级的威胁。
最后，你所有能用来证明你血统的东西只有你的名字。家里的大部分钱财都用到从治疗药水、法术卷轴到大量的矮人麦酒这样的消耗品上了。不仅如此，所有人都预期着你像你的先人一样能挥剑或者使出法术，这也让你证明自己的压力倍增。</t>
    <phoneticPr fontId="49" type="noConversion"/>
  </si>
  <si>
    <t>历史，调查</t>
    <phoneticPr fontId="49" type="noConversion"/>
  </si>
  <si>
    <t>一套工匠工具、来自您之前雇主的分类帐，其中包含一小段有用信息、一套高级衣服、包含10gp的腰包。</t>
  </si>
  <si>
    <t>你曾是艾奎兹玄有限责任公司的竞争对手实习生，你不仅获得了对这份工作和特许经营机会的尊重，还获得了对艾奎兹玄有限责任公司无情而高效的经营方式的尊重。当你能做到最好的时候，为什么还要去处理其他的事情呢?
也许竞争对手对你的态度没有你希望的那么好，或者你被淘汰了。也许你希望利用在那里学到的知识，在艾奎兹玄有限责任公司时获得优势。不管怎样，你现在把你的才能带到公司，准备好把你的技能运用起来。</t>
  </si>
  <si>
    <t>医药，游说</t>
    <phoneticPr fontId="49" type="noConversion"/>
  </si>
  <si>
    <t>一种工匠工具；一套高档服装；20gp</t>
  </si>
  <si>
    <t>意外是不可避免的，但当艾奎兹玄有限责任公司活动的时候，意外就特别的多。一般来说，没目击者就万事大吉，但是有时候有些人幸运的活了下来（比如说你），还起诉了艾奎兹玄有限责任公司。
公司决定雇佣你，代价就是你要和公司调解，不再追究法律责任。
你是一个法律事件的受害者，这表面上是艾奎兹玄有限责任公司的过错。至少地方法官是这么说的。但在最终裁决公布之前，艾奎兹玄有限责任公司给你提供了一份工作!不知道怎么挥剑?他们答应教你!你认为你有丢法术的本事吗?他们的大师能很快让你上手!
带着无尽的宝藏和神秘的魔法王国的承诺，??你离开了过去的生活。现在，冒险的世界属于你了。只要在这里签名，在这里和这里签名。免除AcqInc所有以前的索赔，并承认你了解过去的结果并不保证未来的结果。</t>
  </si>
  <si>
    <t>特技，运动</t>
    <phoneticPr fontId="49" type="noConversion"/>
  </si>
  <si>
    <t>一个青铜铁饼或皮球，一件幸运护身符或过去的奖杯，一套旅行服装，以及一个装有10金币的钱袋</t>
    <phoneticPr fontId="49" type="noConversion"/>
  </si>
  <si>
    <t>你努力地奋斗为使自己的身体和自己所执行的每一件事到达完美。竞争带领的刺激点燃了你血液中的火焰，人群的咆哮声推动着你前进。关于你伟迹的故事能够先于你打开一扇大门或是让人滔滔不绝。
体育竞技和那些追求它们的人，无论是在诸城邦之间的哪一座，或是在塞洛斯那些非人类住民之间，都得到了近乎于崇敬的尊重。运动员们来自各个阶层，有着不同的文化，也经常会遇到另一位运动员。</t>
    <phoneticPr fontId="49" type="noConversion"/>
  </si>
  <si>
    <t>从洞悉,调查，或察觉中选择两项</t>
  </si>
  <si>
    <t>易容工具，盗贼工具</t>
    <phoneticPr fontId="49" type="noConversion"/>
  </si>
  <si>
    <t>一个放大镜，过去案例中的证据(从后文中的恐怖饰品列表中选择或随机投掷一个)，一套普通服装，以及10GP</t>
    <phoneticPr fontId="49" type="noConversion"/>
  </si>
  <si>
    <t>你不屈不挠地寻找真相。也许你的动机是对法律的信仰和一种普世正义感，或者也许一条法律让你失望了，而你想拨乱反正。你可能目睹过一些不寻常或可怕的东西，现在你必须更多地了解这个隐藏的真相。或者你可能是个雇佣侦探，为高薪客户解开谜团。不论你卷入的神秘事件是本地罪案还是跨越国度的阴谋，你都会受到自身需要的驱使，去搜寻哪怕最难分辨的一丝线索，揭露隐藏在阴影中的秘密。</t>
    <phoneticPr fontId="49" type="noConversion"/>
  </si>
  <si>
    <t>从奥秘、调查、宗教或求生中选择两项</t>
  </si>
  <si>
    <t>怪物猎手套装monsterhunter'spack（一个小箱子，一根撬棍，一把锤子，三根木桩钉，一个圣徽，一瓶圣水，一副手铐，一面钢镜，一瓶油，一个火绒匣和三支火把），一件具有特殊意义的饰品（在本章中的恐怖饰品表里选一个或者投骰子决定一个、一套普通服装以及1sp</t>
  </si>
  <si>
    <t>你被某些恐怖的东西纠缠了，它们是如此的可怕以至于你甚至不敢提起那些名字。你想要隐瞒这件事并且逃出它的魔掌，然而无济于事。纠缠你的东西并不能被刀剑杀死，也无法被咒语所驱离。它可能就潜伏在墙上的影子里、也可能是一个鲜血淋漓的噩梦、一段无法抹去的回忆、或者黑暗中恶魔般的耳语。你为这重担付出了代价：疏远人群、深陷孤独并且怀疑自己的神智。你必须想办法克服它，否则就会被它摧毁。</t>
  </si>
  <si>
    <t>斯翠海文学徒专长（粹丽）</t>
    <phoneticPr fontId="49" type="noConversion"/>
  </si>
  <si>
    <t>特技，表演</t>
  </si>
  <si>
    <t>一种乐器或一种工匠工具</t>
  </si>
  <si>
    <t>一瓶黑色墨水，一根钢笔，一套工匠工具或一件乐器（由你选择的），一套校服，一个装有10gp的包。</t>
  </si>
  <si>
    <t>你是一位艺术家，你已经做足了准备，承接粹丽学院的传统文化，磨练自己的技艺。无论你的艺术形式为何——雕塑，舞蹈，绘画，音乐，戏剧，建筑学还是其他的领域——你都拥有远见卓识，通过魔法和创意的融合，将你的艺术展现得淋漓尽致。</t>
  </si>
  <si>
    <t>斯翠海文学徒专长（衡鉴）</t>
    <phoneticPr fontId="49" type="noConversion"/>
  </si>
  <si>
    <t>历史，宗教</t>
  </si>
  <si>
    <t>一瓶黑色墨水，一根钢笔，一把锤子，一盏带盖罩的提灯，一个火绒盒，一本历史册，一套校服，一个装有15gp的包。</t>
  </si>
  <si>
    <t>你的青年时光花费在为进入衡鉴学院的准备上，把为预备学生提供的推荐书单上的书全都读了一遍。你的学术热情聚焦于宽广的历史领域。你可能梦想着使用魔法与历史伟人或你的先祖进行沟通，也可能是想要重现远古时代的强大魔法。</t>
  </si>
  <si>
    <t>斯翠海文学徒专长（量析）</t>
    <phoneticPr fontId="49" type="noConversion"/>
  </si>
  <si>
    <t>奥秘，自然</t>
  </si>
  <si>
    <t>一种工匠工具</t>
  </si>
  <si>
    <t>一瓶黑色墨水，一根钢笔，一把算盘，一本奥秘原理书籍，一套校服，一个装有15gp的包。</t>
  </si>
  <si>
    <t>在为了进入量析学院的备考过程中，你花费了多年去求解为量析预备学生准备的所有数学题。你的兴趣点在于自然界中发现的数学法则和模式。你可能会继续深造数学或物理，也可能会投身于更抽象的研究，如形而上学，奥秘或逻辑。</t>
  </si>
  <si>
    <t>斯翠海文学徒专长（靡华）</t>
    <phoneticPr fontId="49" type="noConversion"/>
  </si>
  <si>
    <t>一瓶黑色墨水，一根钢笔，一本植物图鉴，一个铁壶，一套草药工具，一套校服，一个装有15gp的包。</t>
  </si>
  <si>
    <t>你的童年被各种初级的炼金实验所占满，这都是为了将来能成为靡华学院的学生。生命科学是你的研究重点，其中包含了生物学和死灵学。根据材料的不同药性配制奇怪的混合液，探索怪物的解剖学，博物归类沼泽地区植物群等都是你可能在靡华学院里追寻的研究。</t>
  </si>
  <si>
    <t>斯翠海文学徒专长（银毫）</t>
    <phoneticPr fontId="49" type="noConversion"/>
  </si>
  <si>
    <t>威吓，游说</t>
  </si>
  <si>
    <t>一瓶黑色墨水，一根钢笔，一本诗集，一套校服，一个装有15gp的包。</t>
  </si>
  <si>
    <t>你花费多年精进你的写作和演讲的水平，希望将来能成为银毫学院的学生。你的研究专注于语言，文学，还有文字的力量（魔法的和非魔法的）。文字的象征之力能用来阐述或隐瞒，当这一特性与文字魔法相结合后，在你的学术追求上也能实现相同的效果。</t>
  </si>
  <si>
    <t>健壮</t>
    <phoneticPr fontId="49" type="noConversion"/>
  </si>
  <si>
    <t>领航者工具，载具（太空）</t>
  </si>
  <si>
    <t>一个缠索栓（短棒），一套旅行服装，一个抓钩，50尺长的麻绳，一个装着10gp的小包。</t>
  </si>
  <si>
    <t>你在荒宇的虚空之中长大这里是小行星矿工，卫星农民以及其他顽强之人的家园。也许你生长在一个偏远的定居点，如布拉之岩（见第三章），或者你早年在一艘魔法船上工作，做一些有用的杂活，比如擦拭甲板、装卸货物，以及从船体上刮下藤壶。
无论你的过往如何，荒宇的生活已经使你变得坚韧不拔，以至于当你面对真空之星夜的恐怖和其他挑战时，你就像一只迷你巨型太空仓鼠一样勇敢。</t>
  </si>
  <si>
    <t>魔法学徒（牧师）</t>
    <phoneticPr fontId="49" type="noConversion"/>
  </si>
  <si>
    <t>洞悉，宗教</t>
  </si>
  <si>
    <t>一套旅行服装，一本日记，一只墨水笔，一瓶墨水，还有一个装着10gp的小包</t>
  </si>
  <si>
    <t>早在你有记忆之前，你就在星界海之中遨游。在星界海里，你切身体会到了银色虚空的奥妙：你停止老化并不再感受到饥渴。在流浪欲的驱使下，你像风中的尘埃一般，在星界海中四处飘荡。自从你来星界海至今到底度过了多少年月，已经无法计数。
在你的旅途中，你于死去神灵的巨大石化残骸上扎营，惊险地逃脱了横扫星界海的心灵之风，同时还得躲避该位面最危险的居民们。</t>
  </si>
  <si>
    <t>威吓，求生</t>
  </si>
  <si>
    <t>一个背包，一套旅行服装，一块可以令你回忆起家乡的小石头或小树枝，以及一个装有10gp的小包</t>
    <phoneticPr fontId="49" type="noConversion"/>
  </si>
  <si>
    <t>虽然你并非一名巨人，但你自巨人之间成长。也许你是某个同情你的石巨人家庭将你如同他们的同族孩子一样抚养长大的一名孤儿。或者你生活在世界的一处史前的与世隔绝之地，生活在巨人们、令人生畏的巨兽、与庞大的恐龙之间。
一些关于你生活环境的事改变了你也许是你一直食用粮食和饮用的水、也许是在你家乡所处地充盈的元素魔力、也许是某种施加到你身上的成长祝福让你成长为了比原属族群高大不少的体型。在这一魔力的协助下，你习得了体现出巨人之力的方法。你的技能、你的各项能力、以及对生活的看法，无一不反映出你曾在普遍比你巨大的世界中穿行的事实。</t>
    <phoneticPr fontId="49" type="noConversion"/>
  </si>
  <si>
    <t>历史，察觉</t>
    <phoneticPr fontId="49" type="noConversion"/>
  </si>
  <si>
    <t>一套工匠工具</t>
    <phoneticPr fontId="49" type="noConversion"/>
  </si>
  <si>
    <t>一套工匠工具（由你选择的一套），一把小刀，一块打磨石，一套普通服装，以及一个装有10gp的小包</t>
    <phoneticPr fontId="49" type="noConversion"/>
  </si>
  <si>
    <t>你奉献你的一生以学习符文工艺。也许你是受一名符文雕刻者的大师教导，亦也许是从古代刻印中钻研得到的成果，你得到了利用符文之中的超自然能量的能力。
符文工艺的技艺最初是由巨人们创造的，但时过境迁，这一项工艺早已被许多人接纳与利用。同样的，虽然巨人符文也是最常被使用的那一类，但许多符文雕刻者的也会在作品融入他们原生语言中的符号。</t>
    <phoneticPr fontId="49" type="noConversion"/>
  </si>
  <si>
    <t>外层位面后裔</t>
    <phoneticPr fontId="49" type="noConversion"/>
  </si>
  <si>
    <t>游说，求生</t>
    <phoneticPr fontId="49" type="noConversion"/>
  </si>
  <si>
    <t>一轮不知道对应什么锁的钥匙串，一本空白的书籍，一根墨水笔或羽毛笔，一瓶黑墨水，一套旅行服装，以及一个装有10gp的小包。</t>
    <phoneticPr fontId="49" type="noConversion"/>
  </si>
  <si>
    <t>先决条件：异度风景战役
你曾在受位面力量影响之地或是通往其他存在位面的传送门周围生活了许久，例如外域中的某个门镇。你早已习惯那些令人闻风丧胆的异界恐怖与引人入胜的异域风光，且对你来说，与那些天族们与邪魔们打交道，就如同跟门镇里的小贩打交道一样稀疏平常（虽然有可能那个小贩就是天族/邪魔）。</t>
    <phoneticPr fontId="49" type="noConversion"/>
  </si>
  <si>
    <t>奥秘，与你的派系有关的一项技能（见下方印记城派系偏好表）或你自选的一项技能</t>
    <phoneticPr fontId="49" type="noConversion"/>
  </si>
  <si>
    <t>一把传送门钥匙（例如一包金色茶叶，或是位面野兽之牙），一份阐述你指导哲学的宣言，一套符合你派系风格的普通服装，以及一个装着来自不同位面和不同世界的钱币（这些钱币的价值相当于10gp）的小包。</t>
    <phoneticPr fontId="49" type="noConversion"/>
  </si>
  <si>
    <t xml:space="preserve">先决条件：异度风景战役
你信奉着一门理解位面本质或多元宇宙秘实的哲学。你从你的信念中获得力量，或许还会从一群志同道合的思想家（例如下文中的印记城派系）那里获得支持。在你的旅途中，你探索着你知识的渊底，将你的哲学传播到每个所及之处。
印记城派系偏好Sigil Faction Affinities 
派系 技能 
神明非神会 宗教 
无望党 洞悉 
末日守卫 自然 
定命盟 威吓 
秩序厅 历史 
祸乱之手 隐匿 
和谐营 察觉 
灰烬先驱 医药 
屠悯会 求生 
心灵之眼 游说 
感觉团 表演 
超然社 运动 </t>
    <phoneticPr fontId="49" type="noConversion"/>
  </si>
  <si>
    <t>幸运，魔法学徒，或者熟习</t>
    <phoneticPr fontId="49" type="noConversion"/>
  </si>
  <si>
    <t>一套你自选的赌具（比如纸牌或三龙牌）</t>
    <phoneticPr fontId="49" type="noConversion"/>
  </si>
  <si>
    <t>一瓶黑色墨水，一支墨水笔，五卷纸，一套赌具（与你所选熟练项一致），一个玺戒，一套高档服装，以及一个装着18gp的小包</t>
    <phoneticPr fontId="49" type="noConversion"/>
  </si>
  <si>
    <t>在你的命运突然奇迹般地变成好运气之前，你曾过着艰难的生活。或许是一位慈悲的神明正好给了你最想要的东西。或许你偶然发现了一副万象无常牌并抽出了一张强大的，具有正面效果的牌。又或许你从一位你不知道的远房亲戚那里继承了一笔小小财富。
不管怎么说，你抛下了往日生活日复一日的痛苦，代之以兴奋与奇遇的人生。是你的旧债已被偿还，是你认为无法避免的责任已成为过去，或是你突然拥有了常人所未知晓的罕见与独特的技能。</t>
    <phoneticPr fontId="49" type="noConversion"/>
  </si>
  <si>
    <t>警觉，熟习或健壮</t>
    <phoneticPr fontId="49" type="noConversion"/>
  </si>
  <si>
    <t>隐匿，求生</t>
    <phoneticPr fontId="49" type="noConversion"/>
  </si>
  <si>
    <t>一个有裂缝的沙漏，一副生锈的镣铐，一个半空的玻璃瓶，一套狩猎陷阱，一套赌具（与你所选熟练项一致），一套旅行服装，以及一个装着13gp的小包</t>
    <phoneticPr fontId="49" type="noConversion"/>
  </si>
  <si>
    <t>一切都曾进行得很顺利！当你突然失去一切时，你曾有过一个奢侈，爱与舒适的生活。也许你被诬陷为犯下了你所未犯过的罪名并且失去了名誉，财富与事业。又也许一只狂暴的龙或某只其他怪物在一个灾难的下午抹消了你所拥有的一切。又或者你前去寻找万象无常牌，希望让你的成功人生更加辉煌——不料却抽到了一张永远改变了你命运的毁灭性的卡牌。
你的绝望驱使你投入冒险者的事业。你并非为了兴趣与荣耀而去探访黑暗的地牢与其中的怪物居民；你这么做只是因为别无他路。但你曾经在命运之轮其上崛起过，而凭着机遇与坚韧，你又何尝不能东山再起？</t>
    <phoneticPr fontId="49" type="noConversion"/>
  </si>
  <si>
    <t>远行者</t>
  </si>
  <si>
    <t>城市猎人</t>
  </si>
  <si>
    <t>城市守卫</t>
  </si>
  <si>
    <t>城市守卫变体-调查员</t>
  </si>
  <si>
    <t>老佣兵</t>
  </si>
  <si>
    <t>朝臣</t>
  </si>
  <si>
    <t>继承者</t>
  </si>
  <si>
    <t>骑士团成员</t>
  </si>
  <si>
    <t>派系特工</t>
  </si>
  <si>
    <t>深水城贵族</t>
  </si>
  <si>
    <t>乌斯伽部族成员</t>
  </si>
  <si>
    <t>与世隔绝的学者</t>
  </si>
  <si>
    <t>宗族工匠</t>
  </si>
  <si>
    <t>俄佐立官员</t>
  </si>
  <si>
    <t>波洛斯教团兵</t>
  </si>
  <si>
    <t>底密尔特务</t>
  </si>
  <si>
    <t>葛加理成员</t>
  </si>
  <si>
    <t>古鲁反抗者</t>
  </si>
  <si>
    <t>伊捷工程师</t>
  </si>
  <si>
    <t>欧佐夫议员</t>
  </si>
  <si>
    <t>拉铎司邪教徒</t>
  </si>
  <si>
    <t>瑟雷尼亚祀徒</t>
  </si>
  <si>
    <t>析米克科学家</t>
  </si>
  <si>
    <t>家族代理人-卡尼斯</t>
  </si>
  <si>
    <t>家族代理人-邓奈斯</t>
  </si>
  <si>
    <t>家族代理人-伽兰达</t>
  </si>
  <si>
    <t>家族代理人-乔拉斯克</t>
  </si>
  <si>
    <t>家族代理人-昆达拉克</t>
  </si>
  <si>
    <t>家族代理人-林兰德</t>
  </si>
  <si>
    <t>家族代理人-梅丹尼</t>
  </si>
  <si>
    <t>家族代理人-欧瑞恩</t>
  </si>
  <si>
    <t>家族代理人-费奥兰</t>
  </si>
  <si>
    <t>家族代理人-西维斯</t>
  </si>
  <si>
    <t>家族代理人-萨拉释克</t>
  </si>
  <si>
    <t>家族代理人-索兰尼</t>
  </si>
  <si>
    <t>家族代理人-瓦塔利斯</t>
  </si>
  <si>
    <t>赌徒</t>
  </si>
  <si>
    <t>失败商人</t>
  </si>
  <si>
    <t>名人冒险家的子孙</t>
  </si>
  <si>
    <t>竞争对手实习生</t>
  </si>
  <si>
    <t>起诉人</t>
  </si>
  <si>
    <t>调查员</t>
  </si>
  <si>
    <t>噩梦缠身</t>
  </si>
  <si>
    <t>粹丽学生</t>
  </si>
  <si>
    <t>衡鉴学生</t>
  </si>
  <si>
    <t>量析学生</t>
  </si>
  <si>
    <t>靡华学生</t>
  </si>
  <si>
    <t>银毫学生</t>
  </si>
  <si>
    <t>荒宇人</t>
  </si>
  <si>
    <t>星界浪客</t>
  </si>
  <si>
    <t>巨人养子</t>
  </si>
  <si>
    <t>门镇守卫</t>
  </si>
  <si>
    <t>位面哲学家</t>
  </si>
  <si>
    <t>受宠者</t>
  </si>
  <si>
    <t>受难者</t>
  </si>
  <si>
    <t>背景</t>
  </si>
  <si>
    <t>特性</t>
    <phoneticPr fontId="49" type="noConversion"/>
  </si>
  <si>
    <t>洞悉，宗教</t>
    <phoneticPr fontId="49" type="noConversion"/>
  </si>
  <si>
    <t>运动，洞悉</t>
    <phoneticPr fontId="49" type="noConversion"/>
  </si>
  <si>
    <t>欺瞒，巧手</t>
    <phoneticPr fontId="49" type="noConversion"/>
  </si>
  <si>
    <t>一枚圣徽（出任神职时的礼物），一本祷告经书或经轮，5根熏香，祭袍，一套普通服装，以及一个装着15 gp的小包。</t>
    <phoneticPr fontId="49" type="noConversion"/>
  </si>
  <si>
    <t>信仰庇护 Shelter of the Faithful
作为一名侍僧，你与同一信仰的同志互相尊重，并且可以随时主持相应神的神圣仪式。当你与冒险同伴遇到你所信仰神的神庙，圣坛或其他机构时，你们可能会得到免费的治疗和照料，但你必须为法术提供必须的材料成分。那些与同一信仰的同志会支持你（但仅限你）最基本的生活需求。
 你可能还会与信仰相同的某神庙保持联系，并在该处留有一住宿地。这里可能是你曾服务过的神庙，而你仍与其团体关系良好；又或者可能是一座你在其中找到新归宿的神庙。靠近这座神庙时，你可以召来祭司提供帮助，而只要你所要求的协助风险不高，你就能一直与该神庙保持良好的关系。</t>
    <phoneticPr fontId="49" type="noConversion"/>
  </si>
  <si>
    <t>易容工具，文书伪造工具</t>
    <phoneticPr fontId="49" type="noConversion"/>
  </si>
  <si>
    <t>一套高档服装，一套易容工具，一些你自选的行骗道具（十个装满五颜六色液体的塞口瓶子，一套作弊骰子，一套暗号纸牌，或者一枚捏造的公爵玺戒），以及一个装有15 gp的小包</t>
    <phoneticPr fontId="49" type="noConversion"/>
  </si>
  <si>
    <t>假身份 False Identity
你可以伪装成另一个身份，还附带关于该身份的相关的人证物证，并且必须先乔装打扮来让你进入角色。此外，你还可以伪造含有官方格式和私人笔迹的文书，前提是你必须曾见过此类文件以及目标的笔迹以作范本。</t>
    <phoneticPr fontId="49" type="noConversion"/>
  </si>
  <si>
    <t>你是一位有违法前科的罪犯。且曾经在罪犯群中生活过一段不短的时间，而现在则仍然与罪犯的地下世界保持着联系。你比这世上的大多数人都要接近那些充斥在文明薄弱处的谋杀、盗窃和暴力事件，而你已经以藐视社会规则的态度活到了当下。</t>
    <phoneticPr fontId="49" type="noConversion"/>
  </si>
  <si>
    <t>罪犯接头人 Criminal Contact
你有一个可靠可信的接头人，来帮你组织进罪犯们组成的联系网中。即使遥隔千里你也知道如何从接头人处收发信息。此外，你还知道哪些人能为你捎信，他们可能是本地的信使，可贿赂的商队主管，或是衣衫褴褛的水手。</t>
    <phoneticPr fontId="49" type="noConversion"/>
  </si>
  <si>
    <t>一种赌具，盗贼工具</t>
    <phoneticPr fontId="49" type="noConversion"/>
  </si>
  <si>
    <t>一根撬棍，一套带兜帽的深色普通服装，一套普通服装，以及一个装有15 gp的小包</t>
    <phoneticPr fontId="49" type="noConversion"/>
  </si>
  <si>
    <t>你在观众面前的表演生涯下成长。逐渐学会如何取悦他人，如何令他们着迷，甚至学会了如何激励他们。你的诗篇挑动听众的心弦，带动他们的喜怒哀乐。你的音乐振作他们的精神，或勾起他们的伤感。你的舞步令人着迷，你的幽默一针见血。无论你擅长何技，艺术即是你的生命。</t>
    <phoneticPr fontId="49" type="noConversion"/>
  </si>
  <si>
    <t>易容工具，一种乐器</t>
    <phoneticPr fontId="49" type="noConversion"/>
  </si>
  <si>
    <t>一种乐器（由你选择），倾慕者的信物（情书、一缕头发或者饰品），一套表演服装，以及一个装有15 gp的小包</t>
    <phoneticPr fontId="49" type="noConversion"/>
  </si>
  <si>
    <t>人见人爱 By Popular Demand
你总是能找到表演场地，通常是酒馆或者客栈，偶尔也会是马戏团、剧院，甚至是贵族厅堂。只要你每晚维持出演，就可以在表演地获得简朴或舒适水平的免费食宿（取决于表演的规模）。此外，表演生涯使你在当地获得一定名气。当你在演出的城镇被陌生人认出时，通常都会受到善待。</t>
    <phoneticPr fontId="49" type="noConversion"/>
  </si>
  <si>
    <t>一种工匠工具，载具（陆运）</t>
    <phoneticPr fontId="49" type="noConversion"/>
  </si>
  <si>
    <t>一套工匠工具（由你选择），一把铲子，一个铁壶，一套普通服装，以及一个装有10 gp的小包</t>
    <phoneticPr fontId="49" type="noConversion"/>
  </si>
  <si>
    <t>驯兽，生存</t>
    <phoneticPr fontId="49" type="noConversion"/>
  </si>
  <si>
    <t>虽然你的能力水平与那些盗窃犯或走私犯区别不大，但你却层以一种不同寻常的方式接受教育与训练：即作为一名从事谍报活动的探子。你可能曾是一名官方认可的皇家密探，也可能是价高者得的情报贩卖者。</t>
    <phoneticPr fontId="49" type="noConversion"/>
  </si>
  <si>
    <t>罪犯变体-密探</t>
    <phoneticPr fontId="49" type="noConversion"/>
  </si>
  <si>
    <t>艺人变体-角斗士</t>
    <phoneticPr fontId="49" type="noConversion"/>
  </si>
  <si>
    <t>角斗士其实与巡游艺人或马戏师非常相似，他们学习以战斗场景娱乐大众的艺术。这种华而不实的战斗正是你的演艺方向，而你也可以同时掌握表演者或杂耍人的相关技术。你可以利用“人见人爱”特性在任何适合以战斗取乐的地点表演——可以是某个斗剑场，或是黑拳俱乐部。你可以将装备选择中的乐器替换为不昂贵且不常见的武器，比如三叉戟或捕网。</t>
    <phoneticPr fontId="49" type="noConversion"/>
  </si>
  <si>
    <t>你来自社会阶级的底层，但是却命中注定要经历许多磨难。家乡的人们已经将你视为他们的斗士，而命运也正感召着你去对抗各地压迫平民百姓的暴君和怪物。</t>
    <phoneticPr fontId="49" type="noConversion"/>
  </si>
  <si>
    <t>好客乡民 Rustic Hospitality
你因来自平民阶层而在乡民群众中倍感舒适。除非乡民们已经认为你会带来危险，否则你总能在普通人群中找到一个地方以供躲藏，休息或复原。他们能够掩护你逃脱法办，或者逃离追杀你的人，只是他们并不会为你而牺牲自己的性命。</t>
    <phoneticPr fontId="49" type="noConversion"/>
  </si>
  <si>
    <t>身为工匠公会的一员，你非常擅长某项手艺，且与其他工匠关系密切。你是商业社会的基石，因天份和财富而从封建的阶级体系中解脱。你拜入一位大师门下学习手艺，并从公会获得支持，直至最终成为一代宗师。</t>
    <phoneticPr fontId="49" type="noConversion"/>
  </si>
  <si>
    <t>一套工匠工具（由你选择），一封公会的介绍信，一套旅行者服装，以及一个装有15 gp的小包</t>
    <phoneticPr fontId="49" type="noConversion"/>
  </si>
  <si>
    <t>公会成员 Guild Membership
你身为公会中一名备受尊敬的正式成员，可以享受到公会所提供的一些好处。公会中的同僚会在你需要时为你提供食宿，甚至在必要时为你安排身后事。公会在某些市镇设置有会馆，你可以以此作为与同行交流的场所，也可以从中开发潜在的客户、合作伙伴或雇工。
公会常常掌握着庞大的政治资源。当你被指控某项罪名时，公会可以为你提供全面的支持，前提是你必须为自己的清白做出举证，或是你的罪名必须仍可接受辩护。倘若你身处公会高层，甚至可以藉由公会获取有力的政治地位。而这些人脉资源都需要你为公会捐赠金钱或魔法物品来维持。
你每个月必须上交5 gp作为会费。若你因故未缴这笔费用，则必须在补齐后才能重获公会的青睐。</t>
    <phoneticPr fontId="49" type="noConversion"/>
  </si>
  <si>
    <t>跟工匠公会不同，你所属的公会的成员主要是商人，商队车主或商店主。你并不会自己制作物品，只是通过买入售出其他人的作品过活（或者买卖制造业者生产所需的原材料）。你的公会可能是一个大型的商人财团（或家族），而其影响可能跨越相当大的地域。你可能会使用船只，货车或商队在各个地区之间运输商品，或者直接从旅行商人处进货再放在你自己的小店中售出。有些时候，旅行商人的生活也许会让其冒险生涯走得比工匠更远。
你可以用领航工具的熟练项，或者掌握额外一门外语来替换工匠工具的熟练项。还可以用一头骡子或者一辆二轮货车代替起始工具中的工匠工具。</t>
    <phoneticPr fontId="49" type="noConversion"/>
  </si>
  <si>
    <t>公会工匠变体-公会商人</t>
    <phoneticPr fontId="49" type="noConversion"/>
  </si>
  <si>
    <t>医药，宗教</t>
    <phoneticPr fontId="49" type="noConversion"/>
  </si>
  <si>
    <t>自选一门语言</t>
  </si>
  <si>
    <t>自选一门语言</t>
    <phoneticPr fontId="49" type="noConversion"/>
  </si>
  <si>
    <t>一个卷轴匣，用来装纳研究成果和祈祷词的笔记，一张冬用毯子，一套普通服装，一套草药工具，以及5 gp</t>
    <phoneticPr fontId="49" type="noConversion"/>
  </si>
  <si>
    <t>研究发现 Discovery
你寂寥的长期隐居令你发现了某些独特而强大的秘密。这项发现的具体内容与你的隐居的理由密切相关。你或许是找到了与宇宙真相，神本质，异界大能或是自然之力等相关的伟大真理。你也可能是发现了某处任何人都未曾发现的地点。你可能揭露了久被遗忘的真相，或是发掘出了久远史前的遗物。或者，你也可能是发现了那些一手导致你流放的家伙们相关的情报，而那也就是你重返凡世的契机。</t>
    <phoneticPr fontId="49" type="noConversion"/>
  </si>
  <si>
    <t>你投身于服务某个神或某个神系的神庙。作为神域与俗世的中间人，你负责主持神圣仪式与安排对神的奉献，并引导信众感受神能的显灵。你不一定是一名牧师，毕竟主持神圣仪式与引导神力是不一样的事情。
你可以从附录B的表格中选择某名神、某个神系或其他类神存在，也可以直接由你的DM进行介绍选择。然后与DM一同商定你投身宗教服务的生活细节。你是否自幼在神庙中长大，后来成为一名低阶神官？又是否作为一名高阶司祭，突然感召神的呼唤以另一种形式为其服务？也许你曾是远离神庙机构的某个小教团的领导者，或者曾经作为一个服务邪魔主子的神秘团体中一员。</t>
  </si>
  <si>
    <t>你与人交流时总是很有一套方法。你明了对方的动机，并且在进行几分钟交谈和若干引导性提问后，就能如浏览儿科书般轻易的剖析对方的一切。而你也非常乐于以这份实用的天赋为冒险牟利。
你了解人们的欲求，并给予，或者答应给予相应的事物。人们的一般常识是警惕那些说过头的甜言蜜语，而你的技巧却能绕过这些常识。这瓶粉色药水绝对能治愈您那糟糕的皮疹，这神器的油膏（其实就是一些撒了点银粉的油脂）能让您重焕青春活力，刚好城里的那座桥要被拍卖了。这些天花乱坠的谎言在你的嘴里就如同事实一般。</t>
  </si>
  <si>
    <t>你过着隐居生活——栖身于修道院这种与世无争之地，或是孤身一人独自生活。在远离尘世纷扰的生活中，你获得了内心的平静与安宁，或许也从中领悟了苦苦追寻的人生真谛。</t>
  </si>
  <si>
    <t>你熟悉财富、权力和特权的味道。你带着贵族的头衔，所在家族掌握着领地而征收税款并深刻的影响着社会政治。你可以是不识民间疾苦养尊处优的贵族，可以是刚刚踏入贵族行列的商人，也可以是失去继承权却保有大把权力的无赖。你还可以是一位勤劳热心的地主，还同时对领地上的人民认真负责。
和你的DM一起为该背景讨论一个合适的头衔，以及头衔所代表的权力。贵族的头衔并非只是孤立的概念，而是必须联系起一整个家族。无论你持有什么头衔，都有责任将其传给子孙后代。你不只要决定头衔为何，更要和DM一起设计你的家族以及家族对你的影响。
你的家族是古老而稳固，还是于近日刚刚踏入贵族圈？家族的影响力有多大，占据哪块地盘？家族在邻居贵族间名声如何？平民百姓又是如何看待他们的？
你在家族中的地位如何？你是否属于家族头领的子嗣？你对继承头衔的义务感想如何？或者你和继承权相去甚远，以至于除非你给家族蒙羞，否则根本无人在乎？家族头领对你冒险生涯的看法如何？你的家族成员是乐于与你相处，还是唯恐避之不及？
你的家族是否拥有盾徽？你是否需要佩戴家族的玺戒？是否需要穿着特定色系的服装？是否有一种被你的家族血脉视为象征的动物，其甚至会被视为心灵上的家族成员？
这些细节能帮助你设计相应的家族和头衔，并将其融入战役所在的世界设定中。</t>
  </si>
  <si>
    <t>一套高档服装，一枚玺戒，一张血统证书卷轴，以及一个装有25 gp的钱袋</t>
    <phoneticPr fontId="49" type="noConversion"/>
  </si>
  <si>
    <t>特权地位 Position of Privilege
由于你的贵族血统，人们总是会予你优待。高等社会愿意接纳你，人们认同你有权去任何你想去的地方。平民们会尽力满足你的要求，避免你产生任何不快，而那些同样出身高贵的人则会视你为同一个社会圈子的人。你还可以在必要时前去拜会任何当地的贵族。</t>
    <phoneticPr fontId="49" type="noConversion"/>
  </si>
  <si>
    <t>骑士是大多数社会中最底层的贵族头衔之一，不过其地位仍可以获得晋升。如果选择骑士背景，则使用家仆特性（见边栏）代替特权地位特性。其中一名听令的家仆将由一名为你服务的扈从代替，其对你的辅助将是其自身通往骑士之道的训练之一。你的另两名家仆可以包括一位照顾马匹的马夫，以及一名护理护甲的仆役（也可以帮你着装）。</t>
    <phoneticPr fontId="49" type="noConversion"/>
  </si>
  <si>
    <t>贵族变体-骑士</t>
    <phoneticPr fontId="49" type="noConversion"/>
  </si>
  <si>
    <t>你在荒野之中成长，远离文明科技以及都市生活的舒适便利。你曾经目睹过林海般的兽群迁徙，在城里人无法想象的风暴中幸存，还感受过方圆百里内无人回应孑然一身的孤寂。野性流淌在你的体内，无论你是游牧者、探索者、隐居者、渔猎者，甚至劫掠者。即使身处你不谙地势之地，你也有荒野求生的法门。</t>
    <phoneticPr fontId="49" type="noConversion"/>
  </si>
  <si>
    <t>运动，生存</t>
    <phoneticPr fontId="49" type="noConversion"/>
  </si>
  <si>
    <t>一根法杖，一副狩猎陷阱，一件来自你手刃的动物身上的战利品，一套旅行者服装，以及一个装有10gp的小包</t>
    <phoneticPr fontId="49" type="noConversion"/>
  </si>
  <si>
    <t>漂泊者 Wanderer
你对记忆地图和地形时能力惊人，且你总能回想起地形、定居点或者其他环境特征的大致布局。此外，你每天可以为自己以及至多五名队友获取食物和饮水，前提是你们身处的土地可以提供浆果、小野兽、水源等资源。</t>
    <phoneticPr fontId="49" type="noConversion"/>
  </si>
  <si>
    <t>奥秘，历史</t>
    <phoneticPr fontId="49" type="noConversion"/>
  </si>
  <si>
    <t>自选两门语言</t>
  </si>
  <si>
    <t>自选两门语言</t>
    <phoneticPr fontId="49" type="noConversion"/>
  </si>
  <si>
    <t>一瓶黑墨水，一根羽毛笔，一把小刀，一封去世同事信件其内载有你尚不能解答的问题，一套普通服装，以及一个装有10 gp的小包</t>
    <phoneticPr fontId="49" type="noConversion"/>
  </si>
  <si>
    <t>你花费多年来研究多元宇宙的学识。你搜寻手稿，研习卷轴，并听取所有相关学科权威的授课。最终你的努力使你成为所研究领域的大师。</t>
    <phoneticPr fontId="49" type="noConversion"/>
  </si>
  <si>
    <t>研究员 Researcher
当你需要学习或是记起某段学识内容时，就算你并不清楚其具体信息，也总能知道从何处或何人身上着手获取。这些情报通常来自某个图书馆、抄写室、学院，甚至是其他某个智者或某个知道相关知识的人或生物。鉴于发掘多元宇宙最深的秘密有时会需要整趟的冒险甚至是整个的战役，你的DM可能会设定这段情报的所在是一个遥不可及的地方，或者直接将其定义为无法找到。</t>
    <phoneticPr fontId="49" type="noConversion"/>
  </si>
  <si>
    <t>运动，察觉</t>
    <phoneticPr fontId="49" type="noConversion"/>
  </si>
  <si>
    <t>领航工具，载具（水运）</t>
    <phoneticPr fontId="49" type="noConversion"/>
  </si>
  <si>
    <t>一根挽缆栓（短棒），50尺丝绳，兔脚或穿孔小石头一类的护身符（或从第5章的饰品列表中掷骰决定），一套普通服装，以及一个装有10 gp的小包</t>
    <phoneticPr fontId="49" type="noConversion"/>
  </si>
  <si>
    <t>船家路子 Ship’s Passage
在必要时，你可以为团队谋得免费的顺风船进行旅行。你可能是搭上曾经效力过的船只，也可能是遇到与你交好的另一艘船（可能一位你曾经的同船水手所指挥的船只）。因为你是请求对方帮助（而非雇佣），所以你不能让行程和日程全然满足自己的要求。到达目的地的具体时间将由DM做决定。而作为免费搭乘的报酬，你和你的队友必须在航行中加入船员的行列帮忙做工。</t>
    <phoneticPr fontId="49" type="noConversion"/>
  </si>
  <si>
    <t>恶名 Bad Reputation
如果你的角色使用水手背景，则你可以选择这个背景特性代替船家路子特性。
无论你走到哪里，人们都会因你的恶名而恐惧。你在身处文明社区时，可以免受一些细微的犯罪指控（例如在酒馆吃霸王餐或者踢坏商店的大门等），只因人们不敢冒险向当局告发你的劣行。</t>
    <phoneticPr fontId="49" type="noConversion"/>
  </si>
  <si>
    <t>水手变体-海盗</t>
    <phoneticPr fontId="49" type="noConversion"/>
  </si>
  <si>
    <t>你在海船上忙碌了许多年月。在那些日子里，你曾直面狂野风暴、深海巨兽，或是其他许多能把你的小舟卷进深海的危险。你的初恋即是那遥远的海平线，不过现在是时候找些新活计。
与DM讨论设定你曾经所驾驶的船只的相关信息。那是一艘商船、军舰，亦或是探索船、海盗船？它威名远扬，还是不为人知？它航线所至之处多还是少？它如今仍在航行，还是已经失踪，或是和上面的水手一道沉入海底？
你在船上的职位是什么——水手、船长、领航员、厨师，还是别的什么职务？船长是谁，大副又是谁？你是带着同伴们的祝福离舰，还是狼狈地从船上出逃？</t>
  </si>
  <si>
    <t>你在由一个恐怖的海盗抚养长大，这个残忍的杀人犯教会了你如何在血腥而危险的世界中生存。期间，你沉溺于在公海上劫掠，并将那些无辜者送入海底。熟悉恐惧和杀戮滋味的你，成为了许多港口间流传的恶名。
当决定在你的航海生涯中加入海盗元素时，则你可以用恶名特性（见边栏）代替船家路子特性。</t>
  </si>
  <si>
    <t>你记忆中的生活就只有战争。由于自幼受训，你学习了各种武器与护甲的使用方式，掌握了各种求生技巧，因而也懂得如何在战场中存活。你可能曾是一支国家常规军或一支雇佣兵团中的一员，又或者是最近战场上一支战绩标榜的民兵部队中的一员。
当你选择此背景时，与你的DM一起讨论你所属军事组织的具体信息，以及你在其内的军衔高低，还有你在军事生涯所经历的具体事件。你曾出任于一支常规军、城市守卫，亦或乡村民兵？又或者是作为一名贵族或商人的私人保镖，或是一名雇佣兵。</t>
    <phoneticPr fontId="49" type="noConversion"/>
  </si>
  <si>
    <t>运动，威吓</t>
    <phoneticPr fontId="49" type="noConversion"/>
  </si>
  <si>
    <t>一枚军衔徽记，一件从某个倒下的敌人身上得到的战利品（一把匕首，毁坏的武器或是军旗碎片），一套骨骰或一组纸牌，一套普通服装，以及一个装有10 gp的小包</t>
    <phoneticPr fontId="49" type="noConversion"/>
  </si>
  <si>
    <t>军衔 Military Rank
你作为士兵时曾获得过军衔。那些忠于你之前所在组织的士兵仍会承认你的权威与影响，而其中军衔比你低的人甚至依然会遵从你的命令。凭借军衔的影响，你可以向其他士兵临时征用简单的装备或马匹。并且还可以凭此随意通过那些承认你军衔的友方军队大营和堡垒。</t>
    <phoneticPr fontId="49" type="noConversion"/>
  </si>
  <si>
    <t>巧手，隐匿</t>
    <phoneticPr fontId="49" type="noConversion"/>
  </si>
  <si>
    <t>一把小刀，一张你所成长城市的地图，一只宠物鼠，一件纪念你父母的纪念品，一套普通服装和一个装有10 gp的小包</t>
    <phoneticPr fontId="49" type="noConversion"/>
  </si>
  <si>
    <t>你自幼父母双亡，一贫如洗，并且独自混迹街头。没有人抚养照顾你，所以你必须学会如何自己谋生。你为食物不惜打得头破血流，而为防止与你一样的可怜家伙来偷，你还必须时刻环顾四周。你睡在屋顶和小巷中，风餐露宿的生活里就算是生病也只能独自忍耐，无法指望药物和医疗。你最终九死一生地幸存了下来，也因此变得无比狡诈、强健或敏捷——或者兼而有之。
你在开始冒险生涯时，身上带着一笔钱可以让你过上十几天简朴水平的安稳生活。你是如何得到这笔钱的？是什么力量让你能够冲破绝望的生活环境，尝试得到更好的生活？</t>
    <phoneticPr fontId="49" type="noConversion"/>
  </si>
  <si>
    <t>城中秘密 City Secrets
你熟知城市中的秘密小路和胡同，能够在其他人容易迷失的混乱街区中寻路。如果你们并非身处战斗状态，则你还可以在市区内引导同伴以两倍的平时速度在两个地点间穿行。</t>
    <phoneticPr fontId="49" type="noConversion"/>
  </si>
  <si>
    <t>守卫者之眼 Watcher's Eye
你对执行法律、处理违法者有着丰富的经验给予了你对当地法律和罪犯的敏锐感观。你能很容易的找到守卫的哨站或是一些类似的组织，也能轻易的发现社区中犯罪者们活动的窝点。当然，你在想在前者的官方组织受欢迎，而非后者。</t>
    <phoneticPr fontId="49" type="noConversion"/>
  </si>
  <si>
    <t>矮人的尊敬 Respect of the Stout Folk
没有任何人能像矮人们一样，对外来者与宗族工匠抱有着一样的高度尊重。你通常能在盾矮人或者金矮人居住的地方免费获得食宿，矮人们还可能会彼此竞争来决定谁提供给你（也可能是你的同胞）最好的食宿和帮助。</t>
    <phoneticPr fontId="49" type="noConversion"/>
  </si>
  <si>
    <t>矮人语，或如果你已经熟悉矮人语了就自选一门语言</t>
    <phoneticPr fontId="49" type="noConversion"/>
  </si>
  <si>
    <t>图书馆使用权 Library Access
尽管在你的图书馆中其他人们需要经常忍受大量的面试和缴纳一定的费用来获得通用档案室的资料，你将能免费并且能进入图书馆的大部分区域，即使是那些有着太多价值的知识、魔力、或秘密的不对外人开放的区域。</t>
    <phoneticPr fontId="49" type="noConversion"/>
  </si>
  <si>
    <t>宫廷官员 Court Functionary
你拥有的对官场如何运作的知识让你获得你所遇到过的贵族政议院和政府中访问档案和内部运作的能力。你了解是谁在背后操纵着神秘，你知道需要支持时应该去找谁，目前这些组织感兴趣的阴谋又是哪些。</t>
    <phoneticPr fontId="49" type="noConversion"/>
  </si>
  <si>
    <t xml:space="preserve">避风港 Safe Haven 
作为一个组织的代理人，你可以组织秘密联络网中那些可以给你在冒险生涯中提供援助的支援者和工作人员。你知道那些可以用来识别这些秘密人员的记号和密语，这些人可以为你提供一个有免费食宿的隐秘安全屋，或是能够协助寻找你需要的讯息。但是这些家伙并不会为了你冒着暴露自己身份或者生命安全的危险来帮你做事。 </t>
    <phoneticPr fontId="49" type="noConversion"/>
  </si>
  <si>
    <t>众目焦点 All Eyes on You
你的口音、言谈举止、措辞风格甚至你的外表都象征着你是一个异乡人。无论你走到哪里，好奇的目光总会伴随着你。虽然这有些令人讨厌，但是也让你获得那些感兴趣的学者们和那些对其他遥远地方好奇希望听到你家乡故事的人们的好感。
你独特于其他普通大众，你可以运用这种关注力为自己或者旅行的伙伴们接近想要接触的人们。那些贵族领主，学者，贸易亲王以及其他人可能会感兴趣听听你那些有关远方故乡和人民的故事。</t>
    <phoneticPr fontId="49" type="noConversion"/>
  </si>
  <si>
    <t xml:space="preserve">继承遗产 Inheritance
从下列表中选择或者随机一个你继承的遗产，和你的 DM 一起讨论决定出细节：你的遗产为何那么重要，它拥有的故事是什么？你可以让 DM 把这部分内容加入到整个游戏故事中，通过剧情让你和你的角色更多的了解这份遗产的故事。
DM 可以自由发挥你获得的遗产带来的故事，通过任务让你学习到更多有关遗产的历史或本质，或者面对那些想要抢夺这件东西的家伙，或者让你从中领悟到你到底追寻的是什么。DM 也决定了这件遗产的属性和它所拥有的历史和价值。例如，这个物品可能是一小件魔法物品，或是一开始只有一点点能力的东西，但是随着时间流逝它的能力逐渐增长。亦或者，这件遗产起初可能是件毫不起眼的东西，但是只有在某些条件满足时，会恢复原本面貌。
当你开始你的冒险时，你可以决定是否把你的遗产透露给你的同伴们，你也可以默默保守着这个秘密，直到你了解这件东西对你意味着什么和它能给你做些什么。
遗产列表  D8   物件 或 物品 
 1  一份文档，例如地图、信件或是日记之类的 
 2-3  一个饰品（参见《玩家手册》第五章的“饰品”） 
 4  一套服装 
 5  一片珠宝 
 6  一本神秘的书或是一张神秘的字条 
 7  一份手写的故事、歌曲、诗歌、或秘密 
 8  一个纹身，或身上某处的印记 </t>
    <phoneticPr fontId="49" type="noConversion"/>
  </si>
  <si>
    <t>骑士的敬重 Knightly Regard
你会获得来自你的骑士团其他成员和那些与骑士团有着相同目标的人们的救助和避难。如果你的骑士团是一个宗教骑士团，你可以从信仰的神的神殿和其他宗教团体中获得帮助。服务人民的骑士团可以从某些为自己目标服务或是为整个国家服务的团体们寻求帮助。服务于某种理念的骑士团可以从曾近帮助过追寻理念的人们和那些与骑士团分享理念的人们获得帮助。
这些帮助体现为他们提供的避难和食物，以及在适当之时为你进行的医疗，以及会有时会有些危险的服务，比如一群本地居民在战斗中一同救治一位严重受伤的骑士，或是帮助一名受到不公正追捕的骑士秘密逃离出城。</t>
    <phoneticPr fontId="49" type="noConversion"/>
  </si>
  <si>
    <t>佣兵生涯 Mercenary Life
你拥有的生活经历，只有曾同样从事过佣兵生涯之人才能体会。你只要看到对方的徽记就能辨认出相应的佣兵团，你还知道该军团的某些情报，包括其指挥官和领导者的名字和声誉，以及最近雇佣他们的是何人。只要能说相应的语言，你在任何地方都能找到这些佣兵混迹的酒馆或宴会地。你总能在冒险中通过佣兵工作找到足够的钱来维持舒适程度的生活（见《玩家手册》 第 8 章“休整期活动”下的“专业实践”）。</t>
    <phoneticPr fontId="49" type="noConversion"/>
  </si>
  <si>
    <t>耳目众多 Ear to the Ground
你经常与所选定猎物途径地区的社会人士接触。这些人可能与黑社会罪犯、街头莽汉或上流社会成员相关联。这种联系其形式为，每个你所访问的城市都存在一名相应的联络人，该人物会为你提供当地人文和地理的各种相关情报。</t>
    <phoneticPr fontId="49" type="noConversion"/>
  </si>
  <si>
    <t>乌斯伽之传承 Uthgardt Heritage
你不仅彻底了解自己部族之领地，还清楚北地其他地区的地形和自然资源。你熟悉所有的野外地区，而你在那里找到的食物和水的数量是平时的两倍。 
另外，你可以请到你的同胞、以及那些与你部族结盟之人的热情招待，通常包括有德鲁伊结社、精灵游牧部族、竖琴手同盟等团体的成员，以及那些献身于“第一结社 First Circle”众神的祭祀者。</t>
    <phoneticPr fontId="49" type="noConversion"/>
  </si>
  <si>
    <t>保持风度 Kept in Style
在深水城或北地其他地方时，你的家族会确保你的每日的日常用度。你的名字与玺印就足以支付大部分的费用，而你经常光顾的旅店、酒馆和餐馆都很乐于记下你的债务，并将账单寄给你的家人以解决你欠下的债务。
这种优势使你能过上舒适的生活，而不必每天支付 2 gp的费用，也可以减少富裕或奢华程度生活的成本。你不能以更低价的生活方式来将这只生活费当做收入这种得益属于信用体系，而不是明确的货币奖励。</t>
    <phoneticPr fontId="49" type="noConversion"/>
  </si>
  <si>
    <t>在天界语，龙语，地精语，或牛头人语中选择一项</t>
    <phoneticPr fontId="49" type="noConversion"/>
  </si>
  <si>
    <t>从精灵语，巨人语和刻洛语（kraul）中选择一项</t>
    <phoneticPr fontId="49" type="noConversion"/>
  </si>
  <si>
    <t>从龙语，巨人语，地精语和木族语中选择一个</t>
    <phoneticPr fontId="49" type="noConversion"/>
  </si>
  <si>
    <t>在龙语，地精语和维多肯语中任选一种</t>
    <phoneticPr fontId="49" type="noConversion"/>
  </si>
  <si>
    <t>深渊语与巨人语中选择一个</t>
    <phoneticPr fontId="49" type="noConversion"/>
  </si>
  <si>
    <t>从精灵语，象族语或木族语中选择一项</t>
    <phoneticPr fontId="49" type="noConversion"/>
  </si>
  <si>
    <t>家族背景
你身为你家族的代理人，总是能够在家族飞地中为自己和朋友获得食宿。当家族给你任务时，通常会为你提供必要的补给和交通。除此之外，你在家族中还有很多老朋友、导师和竞争对手，当你在为家族工作时，可能会遇到其中之一。身为一名林兰德家族代理人，你可能认识一艘飞空艇的船长；身为一名伽兰达家族的代理人，你会认识很多旅馆老板和调酒师。这些熟人会帮你多大的忙取决于你目前在家族中的地位。</t>
    <phoneticPr fontId="49" type="noConversion"/>
  </si>
  <si>
    <t>攀亲带故 Name Dropping
你知道，也见过各地许多有权势的人 — 其中一些人甚至可能还记得你。 你也许能从战役中的主要人物那里争取到一些次要的帮助，这是由 DM 决定的。此外，普通人会对你特殊对待，而你的家世与故事可能可以换到一顿免费的饭食，或者一个睡觉的地方。</t>
    <phoneticPr fontId="49" type="noConversion"/>
  </si>
  <si>
    <t>供应链 Supply Chain
从你作为一个商人的时候起，你就与批发商、供应商以及其他商人和企业家保持着联系。 您可以在查找物品或信息时调用这些联系。</t>
    <phoneticPr fontId="49" type="noConversion"/>
  </si>
  <si>
    <t>永远别告诉我赔率 Never Tell Me the Odds
胜算和概率是你的谋生之道。在涉及运气游戏或计算最佳计划赔率的休整期活动中，你可以根据DM的判断，切实了解哪些选择可能是最佳选择，哪些机会又似乎好得不真实。</t>
    <phoneticPr fontId="49" type="noConversion"/>
  </si>
  <si>
    <t>法律术语 Legalese
你在当地法律制度方面的经验使你对该制度的来龙去脉有了牢固的认识。 即使法律不站在你这一边，你也可以使用一些复杂的术语，比如“ex juria jus non oritur”（权利不能来自违法行为）和“cogitationis poenam nemo patitur”（任何人不因仅有意图而受处罚）， 来吓唬人们，让他们以为你知道自己在说什么。对于那些不了解的普通人，你也许能通过威吓或欺瞒来获得帮助或特殊待遇。</t>
    <phoneticPr fontId="49" type="noConversion"/>
  </si>
  <si>
    <t>内部线人 Inside Informant
你和你以前的雇主或你以前工作中接触过的其他团体有联系。您可以与您的联系人通信，获取信息的 DM 的自由裁量权。</t>
    <phoneticPr fontId="49" type="noConversion"/>
  </si>
  <si>
    <t>欺瞒，表演</t>
    <phoneticPr fontId="49" type="noConversion"/>
  </si>
  <si>
    <t>一种乐器、盗贼工具</t>
    <phoneticPr fontId="49" type="noConversion"/>
  </si>
  <si>
    <t>高档服装、易容工具、一件任选乐器、绘有笑脸图案的镀金戒指、以及一个装有15GP的小包</t>
    <phoneticPr fontId="49" type="noConversion"/>
  </si>
  <si>
    <t>金色笑脸起源于遥远的塔尔多雷，是一个由吟游诗人和游方艺人组成的信息网。
他们传递的秘密情报成功地削弱了铁腕国王的暴政，如今的塔尔多雷已经成为了一个相对和平的共和国。
在时刻防备着暴政再次出现的同时，其中一群积极的自由斗士前往了集会海岸，并在克洛维斯联会建立了当地的秘密网络，并以此为基地尝试渗透至敦达里安帝国的中枢。
作为一名自由斗士，你的目标是在被压迫的民众心中传播自由和激发希望，并时刻准备着在合适的时间发动革命。</t>
    <phoneticPr fontId="49" type="noConversion"/>
  </si>
  <si>
    <t>傻笑歌谣 Ballad of the Grinning Fool
像其他自由斗士一样，你知道如何找到藏身之处。在集会海岸或敦达里安帝国中任何人口过万的城市中，你都可以在当地最大的酒馆或旅店中演奏傻笑歌谣暗示自己的身份，之后将有当地金色笑脸的同志联络你并为你和你愿意信任的同伴提供庇护所。如果DM认为隐藏你过于危险也可以决定废弃庇护所。这个特性使用时必须谨慎，因为知道这首歌曲的人除了你的战友，还可能会是叛徒、特务、或是其他独裁者的走狗。</t>
    <phoneticPr fontId="49" type="noConversion"/>
  </si>
  <si>
    <t>制毒工具</t>
    <phoneticPr fontId="49" type="noConversion"/>
  </si>
  <si>
    <t>普通服装、制毒工具、带兜帽的黑色斗篷、以及一个装有10GP的小包</t>
    <phoneticPr fontId="49" type="noConversion"/>
  </si>
  <si>
    <t>沃什塔克是由一群为三头犬密会服务的神秘刺客和执法者组成的秘密组织，这些特工没有官方头衔，首都或其他的其他大城市里中的民众往往都用“天灾使者”来暗中代指他们。
作为一名沃什塔克特工，你的主要职责是让那些破坏敦达里安帝国意志——或者更准确的说，破坏密会意志——的异见者们全部闭嘴。</t>
    <phoneticPr fontId="49" type="noConversion"/>
  </si>
  <si>
    <t>影子网络 Shadow Network
你可以通过使用影子网络与其他成员进行远距离的通信，如果你用一种特殊的奥术墨水书写信件和地址，并将信投入火中，它将会在烧尽后直接出现在收件特工的身上。
类似法师们抄写魔法书时的墨水成本，通过这种墨水所写的每封信也需要花费10GP。</t>
    <phoneticPr fontId="49" type="noConversion"/>
  </si>
  <si>
    <t>胜利的回声 Echoes of Victory 
你已经在曾经主办你的运动胜利的地区赢得了观众、运动员和教练的钦佩。当你访问离你长大的地方100英里以内的任何居民点时，你有50%的机会在那里找到仰慕你、愿意提供信息或临时住所的人。
在冒险之余，你可能会参加体育比赛，以保持舒适的生活方式，如同修整期活动中的“专业实践”。</t>
    <phoneticPr fontId="49" type="noConversion"/>
  </si>
  <si>
    <t>选择两门语言，其中一门必须为深渊语Abyssal、天界语Celestial、深潜语Deep Speech、龙语 Draconic、炼狱语Infernal、原初语 Primordial、 木族语 Sylvan 或地底通用语Undercommon</t>
    <phoneticPr fontId="49" type="noConversion"/>
  </si>
  <si>
    <t>黑暗之心 Heart of Darkness
那些注视你双眼的人，会发现你曾直面超出想象的恐怖，你已经熟知黑暗。尽管普通人会对你心生畏惧，但他们依然会 竭尽全力的帮助你、给与你极大的尊重。只要你不危害他们， 他们甚至会在你孤军奋战的时候拿起武器与你共同战斗。</t>
    <phoneticPr fontId="49" type="noConversion"/>
  </si>
  <si>
    <t>官方调查 Official Inquir
你在接触他人和进入场所以获取你所需要的信息方面饶有经验。通过三寸不烂之舌、毅力和官方文件的结合，你可以访问一个与你正在调查的犯罪相关的地方或个人。那些没有参与你的调查的人会替你传递请求或者避免阻碍你。此外，当地执法部门对你有着坚定的看法，认为你是一个讨厌鬼，或者是一个自己人。</t>
    <phoneticPr fontId="49" type="noConversion"/>
  </si>
  <si>
    <t xml:space="preserve">衡鉴学徒 LOREHOLD INITIATE
你 获得斯翠海文学徒专长（见本章后），你必须选择衡鉴学院。
此外，如果你拥有施法或契约魔法特性， 将衡鉴法术表中的法术加入你施法职业的法术列表中。（如果你是拥有多个法术列表的兼职角色，这些法术会加入所有职业的列表中。）
衡鉴法术 LOREHOLD SPELLS
法术环级  法术 
1st 通晓语言 Comprehend Languages , 鉴定术 Identify 
2nd 借鉴才学Borrowed Knowledge（见本书）, 物件定位术 Locate Object 
3rd 死者交谈 Speak with Dead ，灵体卫士 Spirit Guardians 
4th 秘法眼 Arcane Eye ，塑石术 Stone Shape 
5th 焰击术 Flame Strike ，通晓传奇 Legend Lore </t>
    <phoneticPr fontId="49" type="noConversion"/>
  </si>
  <si>
    <t xml:space="preserve">粹丽学徒 PRISMARI INITIATE
你获得斯翠海文学徒专长（见本章后），你必须选择粹丽学院。
此外，如果你拥有施法或契约魔法特性，将 粹丽法术表中的法术加入你施法职业的法术列表中。（如果你是拥有多个法术列表的兼职角色，这些法术会加入所有职业的列表中。） 
粹丽法术PRISMARI SPELLS 
法术环级  法术 
1st 繁彩球 Chromatic Orb , 雷鸣波 Thunderwave 
2nd 炽焰法球 Flaming Sphere, 动力短行Kinetic Jaunt（见本书） 
3rd 加速术 Haste ，水上行走 Water Walk 
4th 行动自如 Freedom of Movement ，火墙术 Wall of Fire 
5th 寒冰锥 Cone of Cold ，元素咒唤术 Conjure Elemental </t>
    <phoneticPr fontId="49" type="noConversion"/>
  </si>
  <si>
    <t xml:space="preserve">量析学徒 QUANDRIX INITIATE
你 获得斯翠海文学徒专长（见本章后），你必须选择量析学院。
此外，如果你拥有施法或契约魔法特性， 将量析法术表中的法术加入你施法职业的法术列表中。（如果你是拥有多个法术列表的兼职角色，这些法术会加入所有职业的列表中。）
量析法术 QUANDRIX SPELLS
法术环级  法术 
1st 纠缠术 Entangle , 光导箭 Guiding Bolt 
2nd 变巨/缩小术 Enlarge/Reduce, 涡旋翘曲Vortex Warp（见本书） 
3rd 活力灵光 Aura of Vitality ，加速术 Haste 
4th 操控水体 Control Water ，行动自如 Freedom of Movement 
5th 原力法阵 Circle of Power ，穿墙术 Passwall </t>
    <phoneticPr fontId="49" type="noConversion"/>
  </si>
  <si>
    <t xml:space="preserve">银毫学徒 SILVERQUILL INITIATE
你获得斯翠海文学徒专长（见本章后），你必须选择银毫学院。 
此外，如果你拥有施法或契约魔法特性，将银毫法术表中的法术加入你施法职业的法术列表中。（如果你是拥有多个法术列表的兼职角色，这些法术会加入所有职业的列表中。） 
银毫法术 SILVERQUILL SPELLS
法术环级  法术 
1st 不谐低语 Dissonant Whispers , 银光锐语Silvery Barbs（见本书） 
2nd 安定心神 Calm Emotions, 黑暗术 Darkness 
3rd 希望信标 Beacon of Hope ，昼明术 Daylight 
4th 强迫术Compulsion ，困惑术 Confusion 
5th 支配人类 Dominate Person ，拉瑞心灵联结 Rary's Telepathic Bond </t>
    <phoneticPr fontId="49" type="noConversion"/>
  </si>
  <si>
    <t xml:space="preserve">靡华学徒 WITHERBLOOM INITIATE
你获得斯翠海文学徒专长（见本章后），你必须选择靡华学院。
此外，如果你拥有施法或契约魔法特性，将 靡华法术表中的法术加入你施法职业的法术列表中。（如果你是拥有多个法术列表的兼职角色，这些法术会加入所有职业的列表中。）
靡华法术 WITHERBLOOM SPELLS
法术环级  法术 
1st 疗伤术 Cure Wounds , 致伤术 Inflict Wounds 
2nd 次级复原术 Lesser Restoration, 靡叶生华Wither and Bloom（见本书）
3rd 回生术 Revivify ，吸血鬼之触 Vampiric Touch 
4th 枯萎术 Blight ，防死结界 Death Ward 
5th 防活物护罩 Antilife Shell ，高等复原术 Greater Restoration </t>
    <phoneticPr fontId="49" type="noConversion"/>
  </si>
  <si>
    <t xml:space="preserve">神性之遇 Divine Contact 
你获得来自玩家手册中的魔法学徒专长，且在选择该专长中的职业时，你必须选择“牧师”一项。 在星界海，你与一位流浪的神道路相会。这次相遇简短且友善，但仍给你留下了长久的影响。这位神觉得适合同你分享一个秘密或一点晦涩的宇宙知识。与你的 DM 合作，确定这些知识的细节及其对战役的影响。 
投掷神性之遇表来决定你遇见了哪一位神，或和你的 DM 合作选取一个更恰当的选项。 </t>
    <phoneticPr fontId="49" type="noConversion"/>
  </si>
  <si>
    <t>两项你选择的语言（推荐天界语或吉斯语）</t>
    <phoneticPr fontId="49" type="noConversion"/>
  </si>
  <si>
    <t xml:space="preserve">荒宇适性 Wildspace Adaptation 
你获得来自玩家手册中的健壮专长。此外，你学会了如何适应失重。你的近战攻击检定不会因失重状态而具有的劣势。（见第二章“失重”） </t>
    <phoneticPr fontId="49" type="noConversion"/>
  </si>
  <si>
    <t>巨人语与另一项你自选的语言</t>
    <phoneticPr fontId="49" type="noConversion"/>
  </si>
  <si>
    <t>巨人打击 Strike of the Giants 
你获得专长 巨人打击Strike of the Giants（将在本章节稍后记述）。</t>
    <phoneticPr fontId="49" type="noConversion"/>
  </si>
  <si>
    <t>巨人语</t>
    <phoneticPr fontId="49" type="noConversion"/>
  </si>
  <si>
    <t>符文塑形者 Rune Shaper 
你获得专长 符文塑形者Rune Shaper（将在本章节稍后记述）。</t>
    <phoneticPr fontId="49" type="noConversion"/>
  </si>
  <si>
    <t>位面注能 Planar Infusion
居住在门镇或类似门镇的地方使你长期浸泡在位面能量之下。你获得专长 外层位面后裔Scion of the Outer Planes （将在本章节稍后记述）。此外，你熟知你成长的这座社区里哪里能找乐子，哪里有实惠的住宿，以及哪里有美食。</t>
    <phoneticPr fontId="49" type="noConversion"/>
  </si>
  <si>
    <t>自选两门语言（推荐选择深渊语、天界语、或炼狱语）</t>
    <phoneticPr fontId="49" type="noConversion"/>
  </si>
  <si>
    <t>信念之力 Convistion
你获得专长 外层位面后裔Scion of the Outer Planes （将在本章节稍后记述）。此外，你组织的成员会保证你在任何其他成员的房屋或组织的设施中的自由、住宿、与饮食。</t>
    <phoneticPr fontId="49" type="noConversion"/>
  </si>
  <si>
    <t>命运宠幸
一个微小的益处反映出你那出人意料的好运。你获得幸运，魔法学徒，或者熟习专长（由你选择）。你所选择的专长即反映了改变了你生活的变化。与某位给予你三个愿望的巨灵的邂逅可能导致了由魔法学徒专长所展现的魔法力量。如果你以一次偶然的三龙牌局偿清了你所有的家庭债务，则可能代之以幸运专长。要不然就是，你可以用熟习专长来反映出你为争取到崭新命运，以及塑造由改变了你生活的力量所赐予的知识与能力而经受的各种考验。</t>
    <phoneticPr fontId="49" type="noConversion"/>
  </si>
  <si>
    <t>屹立不倒
你已经受住了难以忍受的不幸，而你拥有着他人想象不到的隐藏储备。你获得警觉，熟习或健壮专长（由你选择）。你所选择的专长反映了你是如何处理永久改变了你命运的可怕损失。如果你对每个机会都保持着敏锐的感官并通过抓住最微小的希望以逃离痛苦深渊，则选择警觉专长。如果你加倍努力以夺回曾属于你的东西，则选择熟习专长。如果你硬生生地挺过了自己的厄运，则选择健壮专长。</t>
    <phoneticPr fontId="49" type="noConversion"/>
  </si>
  <si>
    <t>波洛斯据点
你被派往波洛斯教团的一处据点服役。你可以向任意一处波洛斯的要塞驻军临时借用简易武器，同时，你有进入拉尼卡任意一座波洛斯要塞进行休息的权限。在要塞中休息时，你会受到安全的保护以及医疗照顾。此外，你每周可以收到1gp（波洛斯发行的1齐诺硬币）以及一间位于你驻扎的要塞中的宿舍来维持至少【穷困】的生活水平。
波洛斯公会法术
前置要求：施法能力或契约魔法职业特性
你可以将波洛斯公会法术表中的法术添加到你的法术列表中。（如果你的角色是兼职角色且拥有多个法术表，将这些法术添加到所有法术表当中）
法术表
戏法：火焰箭，圣火术
1环：光导箭，英雄气概
2环：援助术，灼热射线
3环：希望信标，致盲斩
4环：防死结界，火墙术
5环：焰击术</t>
    <phoneticPr fontId="49" type="noConversion"/>
  </si>
  <si>
    <t>法律权威
你有权在拉尼卡进行执法活动，这种权利通常会激起民众的尊重以及一定程度上的恐惧。在你面前，任何人都会下意识的注意自己的举止，并避免引起你的注意。同时，民众们也认为你有权出现在任何地方。
出示你的俄佐立徽记，你可以要求任何一位平民接受你的询问（尽管当你在处理无可救药的违法者时，这么做通常会引发更多的麻烦）。如果你滥用这项权利，你有可能被上级申斥，甚至被剥夺职务。
俄佐立公会法术
前置要求：施法能力或契约魔法职业特性
你可以将俄佐立公会法术表中的法术添加到你的法术列表中。（如果你的角色是兼职角色且拥有多个法术表，将这些法术添加到所有法术表当中）
法术表
戏法：交友术，传讯术
1环：命令术，诱捕打击
2环：秘法锁，安定心神，人类定身术
3环：鹰眼术，法术反制
4环：强迫术，预言术
5环：支配人类</t>
    <phoneticPr fontId="49" type="noConversion"/>
  </si>
  <si>
    <t>虚假身份
你拥有多个身份，你大多数时间里披着的外衣让你看起来似乎是底密尔之外的其他公会的一名成员。你具有的文件，人际关系和伪装让你能够担任这个角色并融入到你的第二个公会里。
你也可以在任何时候抛弃掉这层身份并融入到城市的无属者群体里。
想想你为什么被安插在第二个公会里。按照下表投骰决定或选择一个适合你的，然后与你的DM创造一个故事。
底密尔公会法术
前置要求：施法能力或契约魔法职业特性
你可以将底密尔公会法术表中的法术添加到你的法术列表中。（如果你的角色是兼职角色且拥有多个法术表，将这些法术添加到所有法术表当中）
法术表
戏法：思想编码Encode Thoughts*、法师之手Mage Hand
1环：易容术Disguise Self、睡眠术Sleep
2环：侦测思想Detect Thoughts、踏雪无痕Pass Without Trace
3环：气化形态Gaseous form、融身入石Meld into stone、回避侦测Nondetection
4环：秘法眼Arcane Eye、行动自如Freedom of Movement
5环：修改记忆Modify Memory</t>
    <phoneticPr fontId="49" type="noConversion"/>
  </si>
  <si>
    <t>地底城通路
你通晓地下的道路，他们能帮你绕开人群，障碍和监视，走遍全城。当你不在战斗中时，你和你带领的伙伴可以以比平时两倍的速度从城内的任意地点到达另一地点。这些地底城通路中潜伏着不会在地表世界的阳光下出现的各种危险，你们的旅途不一定一帆风顺。
葛加理公会法术
前置要求：有施法能力或是有契约法术能力
对你而言，葛加理的公会法术表会自动加入你的施法职业的法术表中（如果你操控一个有多个法术表的兼职角色，公会法术表会自动加入所有的施法法术表中）
葛加理公会法术
戏法 舞光术，维生术
一环 纠缠术，致病射线
二环 防护毒素，衰弱射线，蛛行术
三环 活化死尸，植物滋长
四环 巨虫术， 攫人藤蔓
五环 死云术， 疫病虫群</t>
    <phoneticPr fontId="49" type="noConversion"/>
  </si>
  <si>
    <t>城市基建
伊捷联盟的流行概念基于疯狂的发明、危险的实验和剧烈的爆炸。这个观点大部分是准确的，但是联盟也会参与到建设和建造的世俗任务中，主要是修建基础设施，让拉尼卡人享受自来水、悬浮平台，以及其他魔法的又科技的奇迹。
你建筑物的结构，包括墙后的材质有基本的了解。您还可以找到某栋建筑的蓝图，以便了解其构造的细节。这样的蓝图可以为你提供切入点、结构弱点或秘密空间等知识。你获得这些信息的途径不是毫无限制的。如果获得或使用这些信息使你陷入法律困境，公会也不能保护你免受影响。
伊捷公会法术
前置要求：施法能力或契约魔法职业特性
你可以将伊捷公会法术表中的法术添加到你的法术列表中。（如果你的角色是兼职角色且拥有多个法术表，将这些法术添加到所有法术表当中）
法术表
戏法：燃火术Produce Flame、电爪术Shocking Grasp
1环：混乱箭Chaos Bolt、造水/销水术Create or Destroy Water
2环：灼热金属Heat Metal、魔绳术Rope Trick
3环：召唤闪电Call Lightning、元素武器Elemental Weapon、守卫结界Glyph of Warding
4环：次级元素咒唤术Conjure Minor Elementals、预言术Divination、欧提路克弹力法球Otiluke's resilient sphere
5环：活化物品Animate Objects、元素咒唤术Conjure Elemental</t>
    <phoneticPr fontId="49" type="noConversion"/>
  </si>
  <si>
    <t>利用
你可以在公会的层级中对低于您的一个或多个个人施加影响，并根据需要请求他们的帮助。例如，你可以让人带着信息穿过一个街区，免费搭乘一辆短途马车，或者让别人帮你清理在小巷里留下的血迹。DM决定你的要求是否合理，是否有下级成员可以满足它们。随着你在公会中地位的提高，你会对更多的人产生影响，包括那些拥有更大权力的人。
欧佐夫公会法术 Orzhov Guild Spells
先决条件：施法能力或契约魔法特性
对你而言，欧佐夫公会法术表上的法术被添加到你的法术施法类的法术列表中。(如果你是一个拥有多个法术列表的多职业角色，这些法术会被添加到所有的法术中。)
欧佐夫公会法术 Orzhov Guild Spells
施法等级           法术
戏法                友善术，神导术
1st                 命令术，迷幻手稿
2nd                 注目术，衰弱射线，诚实之域
3rd                  降咒，死者交谈，灵体卫士
4th                  枯萎术，防死结界，李欧蒙秘藏箱
5th                  指使术</t>
    <phoneticPr fontId="49" type="noConversion"/>
  </si>
  <si>
    <t>劣迹昭著
人们把你定义为拉铎司的信徒，他们小心翼翼的，来不引起你的怒火或嘲弄。如果没有被法律权威目击，你可以不受轻微犯罪的影响，比如在餐馆拒绝付餐费，或者在当地商店破门而入。大多数人被你吓得不敢向俄佐立人报告你的罪行。
拉铎司宗派法术
先决条件：施法职业或契约魔法专长
对你而言，拉铎司宗派魔法表中的法术将加入到你的施法职业法术列表中。（如果你有兼职职业拥有法术列表，这些法术也将全部加入该法术列表。）
法术等级 法术
戏法 火焰箭，恶言相加
1级 燃烧之手，不谐低语，炼狱叱喝
2级 疯狂冠冕，注目术，炽焰法球
3级 恐惧术，加速术
4级 困惑术，火墙术
5级 支配人类</t>
    <phoneticPr fontId="49" type="noConversion"/>
  </si>
  <si>
    <t>瓦砾区难民
你十分熟悉那些城市中大多数人通常会回避的区域：亚龙暴乱导致荒废的临近街区，数十年中从未有人照料导致过度生长的公园，文明种族废弃长久的，广阔的，不断蔓延的，充斥着破碎地形的瓦砾区。你可以找到一个适合你和你队友的地方来隐藏或休息在这些区域。额外的，你每天可以在这些区域为你自己和至多五个人找到食物和新鲜的水源。
古鲁公会法术
先决条件：施法职业或契约魔法专长
对你而言，古鲁公会魔法表中的法术将加入到你的施法职业法术列表中。（如果你有兼职职业拥有法术列表，这些法术也将全部加入该法术列表。）
古鲁公会法术 spells
戏法 火焰箭，燃火术
1环 强令对决，动物交谈，雷鸣波
2环 野兽直觉，粉碎音波
3环 召唤动物，召唤箭雨
4环 支配野兽，石肤术
5环 湮灭波</t>
    <phoneticPr fontId="49" type="noConversion"/>
  </si>
  <si>
    <t>盟会庇护所
作为瑟雷尼亚盟会的成员，你可以向公会中的同伴们请求庇护与援助。你和你的同伴可以进入拉尼卡的任意一处瑟雷尼亚盟地休息和躲藏——除非你被证明对该盟地产生了威胁。盟地成员将会保护你免受法律或是任何其他找麻烦的人的伤害，尽管他们不会冒生命危险做这些事。
此外，作为公会成员，你可以在瑟雷尼亚盟地获得免费的治疗和护理，但你必须提供法术所必需的材料。
瑟雷尼亚公会法术
前置要求：施法能力或契约魔法职业特性
你可以将瑟雷尼亚公会法术表中的法术添加到你的法术列表中。（如果你的角色是兼职角色且拥有多个法术表，将这些法术添加到所有法术表当中）
法术表
戏法：德鲁伊伎俩，交友术
1环：援助术，化兽为友，魅惑人类
2环：动物信使，安定心神，守护之链
3环：植物滋长，植物交谈
4环：生命灵光，次级元素咒唤术
5环：启蒙术，问道自然</t>
    <phoneticPr fontId="49" type="noConversion"/>
  </si>
  <si>
    <t>研究者
当你需要学习或是记起某段魔法或科学的学识时，就算你并不清楚其具体信息，也总能知道从何处或何人身上着手获取。这些情报通常来自析米克实验室，有时也会来自伊捷设施、图书馆、大学、甚至是其他某个智者或某个知道相关知识的人或生物。知道哪里可以找到信息并不会自动让你学会它;你可能需要贿赂、恩惠或其他激励来诱使人们透露他们的秘密。
鉴于发掘多元宇宙最深的秘密有时会需要整趟的冒险甚至是整个战役，你的 DM可能会设定这段情报的所在是一个遥不可及的地方，或者直接将其定义为无法找到。
析米克公会法术
先决条件:施法能力或契约魔法特性
对你来说，析米克公会法术表上的法术将被添加到你的施法者职业的法术列表中。(如果你是一个拥有多个法术列表的多职业角色，这些法术会被添加到你所有的法术列表中。)
析米克公会法术表
戏法     酸液飞溅，德鲁伊伎俩
1环      侦测毒性和疾病，脚底抹油，跳跃术
2环      变身术，强化属性，变巨术/缩小术
3环      气化形体，水中呼吸，风墙术
4环      行动自如，变形术
5环      造物术</t>
    <phoneticPr fontId="49" type="noConversion"/>
  </si>
  <si>
    <t>背景名称</t>
  </si>
  <si>
    <t>悲灵</t>
    <phoneticPr fontId="49" type="noConversion"/>
  </si>
  <si>
    <t>部位</t>
    <phoneticPr fontId="49" type="noConversion"/>
  </si>
  <si>
    <t>暗蚀</t>
    <phoneticPr fontId="49" type="noConversion"/>
  </si>
  <si>
    <r>
      <rPr>
        <sz val="11"/>
        <color theme="1"/>
        <rFont val="Courier New"/>
        <family val="3"/>
      </rPr>
      <t>•</t>
    </r>
    <r>
      <rPr>
        <sz val="11"/>
        <color theme="1"/>
        <rFont val="仿宋"/>
        <family val="3"/>
        <charset val="134"/>
      </rPr>
      <t xml:space="preserve"> 你魔法地扭曲施法距离内一个你可见的其他生物周边的空间。目标需通过一次体质豁免（目标可主动选择失败），否则目标将被传送至施法距离内一处你可见，由你选择的未被占据的空间。选择的空间必须是地表之上或液体之中，并且能让目标在不被挤压的情况下支撑目标。
</t>
    </r>
    <r>
      <rPr>
        <sz val="11"/>
        <color theme="1"/>
        <rFont val="Courier New"/>
        <family val="3"/>
      </rPr>
      <t>•</t>
    </r>
    <r>
      <rPr>
        <sz val="11"/>
        <color theme="1"/>
        <rFont val="仿宋"/>
        <family val="3"/>
        <charset val="134"/>
      </rPr>
      <t xml:space="preserve"> 升环施法效应：当你使用3环或更高的法术位施展该法术时，法术位每比2环高1环，施法距离便增加30尺。</t>
    </r>
    <phoneticPr fontId="49" type="noConversion"/>
  </si>
  <si>
    <t>奇物</t>
    <phoneticPr fontId="49" type="noConversion"/>
  </si>
  <si>
    <t>敏捷</t>
    <phoneticPr fontId="49" type="noConversion"/>
  </si>
  <si>
    <t>智力</t>
    <phoneticPr fontId="49" type="noConversion"/>
  </si>
  <si>
    <t>感知</t>
    <phoneticPr fontId="49" type="noConversion"/>
  </si>
  <si>
    <t>魅力</t>
    <phoneticPr fontId="49" type="noConversion"/>
  </si>
  <si>
    <t>描述</t>
    <phoneticPr fontId="49" type="noConversion"/>
  </si>
  <si>
    <t>消耗品</t>
    <phoneticPr fontId="49" type="noConversion"/>
  </si>
  <si>
    <t>/</t>
    <phoneticPr fontId="49" type="noConversion"/>
  </si>
  <si>
    <t>更新记录</t>
    <phoneticPr fontId="49" type="noConversion"/>
  </si>
  <si>
    <t>欺瞒</t>
    <phoneticPr fontId="49" type="noConversion"/>
  </si>
  <si>
    <t xml:space="preserve">先决：异度风景战役
你与某一外层位面的连接为你注入了它的能量。从下方位面注能表中的位面类型中选择一项，你的选择将为你提供某项伤害的抗性与施展某个戏法的能力，如表中所示的那般。你施展这一戏法时无需材料成分，且其施法属性为智力、感知或魅力（在选择此专长时决定）。 
位面注能Planar Infusion 位面 伤害抗性 戏法 
混乱外层位面 毒素 次级幻象Minor Illusion  
邪恶外层位面 暗蚀 颤栗之触Chill Touch  
善良外层位面 光耀 圣火术Sacred Flame  
守序外层位面 力场 神导术Guidance 
外域 心灵 法师之手Mage Hand  </t>
    <phoneticPr fontId="49" type="noConversion"/>
  </si>
  <si>
    <t xml:space="preserve">先决：等级4+，外层位面后裔（混乱外层位面）专长
得益于你引导宇宙混乱之力的能力，你获得下列增益：
属性值提升Ability Score Increase。 你选择的一项属性提升1，至多提升至20。
混乱耀斑Chaotic Flare。当你在一次攻击检定或豁免检定中骰出了1或20时，混乱的魔力将涌入你的身躯。投掷D4，根据骰值决定将发生混乱耀斑表上的哪个事件。耀斑将持续到你的下个回合结束，在首次混乱耀斑结束前你无法触发下次混乱耀斑效应。
混乱耀斑Chaotic Flares D4 耀斑效应 
1 战斗狂热Battle Fury。 你可见的，由你选择的一名生物将被灌注入无我的狂怒。他进行的任何攻击检定都将具有优势，但进行属性检定时将具有劣势。 
2 扰乱力场Disruption Field。 能量波环绕在你的身旁。任何在你5尺内开始其回合的生物以及在回合中首次移动进入此范围的生物将受到1d8力场伤害。 
3 限制解除Unbound。当你移动时，你可以使用你部分或全部的步行速度来传送自身一次，你身上携带或穿着的装备将一同传送，你将传送至一定距离内你可见的未占据空间，距离至多等于你所使用的步行速度。
（译注：原文就是使用速度，而不是消耗移动力。） 
4 狂风呼啸Wailing Winds。 以你为中心，呼啸的狂风将充斥在这半径15尺的球状区域内。你与任何其他在这片区域内的生物进行的感知豁免都将具有劣势。 </t>
    <phoneticPr fontId="49" type="noConversion"/>
  </si>
  <si>
    <t xml:space="preserve">先决：等级4+，外层位面后裔（邪恶外层位面）专长
得益于你引导宇宙邪恶之力的能力，你获得下列增益：
属性值提升Ability Score Increase。 你选择的一项属性提升1，至多提升至20。
贪婪之攫Grasp of Avarice。 每回合一次，当你对你周围60尺范围内的一个你可见的生物造成伤害时，你可以额外对其造成一定暗蚀伤害。暗蚀伤害值等于1d6+你的熟练加值，然后你将恢复等同于所造成黯蚀伤害数值的生命值。你可以使用这一增益的次数等同于你的熟练加值次，在你完成一次长休后你重获全部已消耗的增益使用次数。 </t>
    <phoneticPr fontId="49" type="noConversion"/>
  </si>
  <si>
    <t xml:space="preserve">先决：等级4+ ，外层位面后裔（善良外层位面）专长 
得益于你引导宇宙善良之力的能力，你获得下列增益：
属性值提升Ability Score Increase。 你选择的一项属性提升1，至多提升至20。
舒缓伤痛Soothe Pain。 当你或你周围30尺范围内的生物受到伤害时，你可以用你的反应将那次伤害减少1d10+你的熟练加值。你可以使用这一增益的次数等同于你的熟练加值次，在你完成一次长休后你重获全部已消耗的增益使用次数。 </t>
    <phoneticPr fontId="49" type="noConversion"/>
  </si>
  <si>
    <t>先决：等级4+，外层位面后裔（守序外层位面）专长
得益于你引导宇宙秩序之力的能力，你获得下列增益：
属性值提升Ability Score Increase。 你选择的一项属性提升1，至多提升至20。
凝滞打击Stasis Strike。 每回合一次，当你对你周围60尺范围内的一个你可见的生物造成伤害时，你可以额外对其造成1d8点力场伤害，同时，灵缚将向着那个生物袭去。其必须通过一次感知豁免（DC= 8+你的熟练加值+你外层位面后裔专长的施法属性调整值），豁免成功时，目标将躲开灵缚。豁免失败时，目标将陷入束缚状态，持续直至你的下一回合开始。这灵缚的外形，如同钢铁锁链或其他象征停滞的符号。你可以使用这一增益的次数等同于你的熟练加值次，在你完成一次长休后你重获全部已消耗的增益使用次数。</t>
    <phoneticPr fontId="49" type="noConversion"/>
  </si>
  <si>
    <t>先决：等级4+ ，外层位面后裔（外域）专长 
你在多元宇宙的十字路口——印记城与外域中度过了相当长的一段时间，浸泡在位面能量之中的这段时间使你获得下列增益：
属性值提升Ability Score Increase。 你选择的一项属性提升1，至多提升至20。
交路使者Crossroads Emissary。你习得法术迷踪步Misty Step与巧言术Tongues 。你可以无需法术位的施展这两个法术各一次，当你完成长休时，你重获以此法施展这些法术的能力。当你使用此专长施展巧言术Tongues 时，你无需任何材料成分。你也能够以你拥有的合适环阶的法术位施展这些法术。这些法术的施法属性与你在外层位面后裔专长中决定的施法属性相同。</t>
    <phoneticPr fontId="49" type="noConversion"/>
  </si>
  <si>
    <t>先决：等级4+ ，外层位面后裔专长 
你可以从多元宇宙之中摄取能量，并能在宇宙中的极端环境中生存，还能穿梭于多元宇宙的无限界域之中。你获得下列增益：
位面适应Planar Adaption。 当你完成一次长休时，你将获得强酸、寒冷或火焰伤害（由你选择）的抗性，持续至你下次完成长休。
传送门骇客Portal Cracker。 你对传送门的熟悉程度令你习得了不用钥匙也能打开它的方法。以一个动作，你将你的精神专注于你周围5尺范围内的一道传送门上，并进行一次DC20的智力（奥秘）检定。检定失败时，你将收到3d8心灵伤害并直到完成长休为止都无法再次使用这一增益。检定成功时，你可以强制这扇传送门打开1小时或关上1小时。在这段强制开启/强制关闭的时间内，这扇传送门将不会响应它对应的钥匙，除非生物强行使用钥匙，并成功通过一次DC20的智力（奥秘）检定。
传送门感知Portal Sense。 你始终知道上一次使用的位面传送门位于你何方，但你与那个传送门必须处于同一存在位面上。不仅如此，以一个动作，你可以侦测到30尺内的任何对你来说未处于全身掩护的传送门的位置。一旦你使用了侦测传送门动作，直到你完成一次长休前你都无法再次使用这一动作。</t>
    <phoneticPr fontId="49" type="noConversion"/>
  </si>
  <si>
    <t>卡牌占卜师</t>
  </si>
  <si>
    <t>斯涅布力魔法</t>
  </si>
  <si>
    <t>外层位面后裔</t>
  </si>
  <si>
    <t>混乱与共者</t>
  </si>
  <si>
    <t>恶意后继者</t>
  </si>
  <si>
    <t>公义传承者</t>
  </si>
  <si>
    <t>秩序代行者</t>
  </si>
  <si>
    <t>外域使节</t>
  </si>
  <si>
    <t>位面漫游者</t>
  </si>
  <si>
    <t>冻寒之触</t>
    <phoneticPr fontId="49" type="noConversion"/>
  </si>
  <si>
    <t>D6</t>
  </si>
  <si>
    <t>D8</t>
  </si>
  <si>
    <t>D10</t>
  </si>
  <si>
    <t>D12</t>
  </si>
  <si>
    <t>全局检定修正</t>
    <phoneticPr fontId="49" type="noConversion"/>
  </si>
  <si>
    <t>持有英雄激励</t>
  </si>
  <si>
    <t>已同调的装备</t>
  </si>
  <si>
    <t>种类</t>
  </si>
  <si>
    <t>份量</t>
    <phoneticPr fontId="49" type="noConversion"/>
  </si>
  <si>
    <t>容器</t>
    <phoneticPr fontId="49" type="noConversion"/>
  </si>
  <si>
    <t>计重</t>
    <phoneticPr fontId="49" type="noConversion"/>
  </si>
  <si>
    <t>箭矢</t>
  </si>
  <si>
    <t>20/1磅</t>
    <phoneticPr fontId="49" type="noConversion"/>
  </si>
  <si>
    <t>弩矢</t>
  </si>
  <si>
    <t>20/1.5磅</t>
    <phoneticPr fontId="49" type="noConversion"/>
  </si>
  <si>
    <t>枪械子弹</t>
  </si>
  <si>
    <t>10/2磅</t>
    <phoneticPr fontId="49" type="noConversion"/>
  </si>
  <si>
    <t>投石索子弹</t>
  </si>
  <si>
    <t>吹矢</t>
  </si>
  <si>
    <t>50/1磅</t>
    <phoneticPr fontId="49" type="noConversion"/>
  </si>
  <si>
    <t>弹药</t>
    <phoneticPr fontId="49" type="noConversion"/>
  </si>
  <si>
    <t>熟练</t>
    <phoneticPr fontId="49" type="noConversion"/>
  </si>
  <si>
    <t>寻获魔宠速查</t>
    <phoneticPr fontId="49" type="noConversion"/>
  </si>
  <si>
    <t>名字</t>
    <phoneticPr fontId="49" type="noConversion"/>
  </si>
  <si>
    <t>魔宠类型</t>
    <phoneticPr fontId="49" type="noConversion"/>
  </si>
  <si>
    <t>HP</t>
    <phoneticPr fontId="49" type="noConversion"/>
  </si>
  <si>
    <t>HD</t>
    <phoneticPr fontId="49" type="noConversion"/>
  </si>
  <si>
    <t>先攻</t>
    <phoneticPr fontId="49" type="noConversion"/>
  </si>
  <si>
    <t>体型</t>
    <phoneticPr fontId="49" type="noConversion"/>
  </si>
  <si>
    <t>种类</t>
    <phoneticPr fontId="49" type="noConversion"/>
  </si>
  <si>
    <t>阵营</t>
    <phoneticPr fontId="49" type="noConversion"/>
  </si>
  <si>
    <t>速度</t>
    <phoneticPr fontId="49" type="noConversion"/>
  </si>
  <si>
    <t>调整</t>
    <phoneticPr fontId="49" type="noConversion"/>
  </si>
  <si>
    <t>豁免</t>
    <phoneticPr fontId="49" type="noConversion"/>
  </si>
  <si>
    <t>体质</t>
    <phoneticPr fontId="49" type="noConversion"/>
  </si>
  <si>
    <t>概览</t>
    <phoneticPr fontId="49" type="noConversion"/>
  </si>
  <si>
    <t>特质</t>
    <phoneticPr fontId="49" type="noConversion"/>
  </si>
  <si>
    <t>动作</t>
    <phoneticPr fontId="49" type="noConversion"/>
  </si>
  <si>
    <t>生物类型</t>
    <phoneticPr fontId="49" type="noConversion"/>
  </si>
  <si>
    <t>动作项</t>
    <phoneticPr fontId="49" type="noConversion"/>
  </si>
  <si>
    <t>蝙蝠</t>
    <phoneticPr fontId="49" type="noConversion"/>
  </si>
  <si>
    <t>微型</t>
    <phoneticPr fontId="49" type="noConversion"/>
  </si>
  <si>
    <t>野兽</t>
    <phoneticPr fontId="49" type="noConversion"/>
  </si>
  <si>
    <t>无阵营</t>
    <phoneticPr fontId="49" type="noConversion"/>
  </si>
  <si>
    <t>D4</t>
  </si>
  <si>
    <t>+2</t>
    <phoneticPr fontId="49" type="noConversion"/>
  </si>
  <si>
    <t>5尺，飞行30尺</t>
    <phoneticPr fontId="49" type="noConversion"/>
  </si>
  <si>
    <t>+1</t>
    <phoneticPr fontId="49" type="noConversion"/>
  </si>
  <si>
    <t xml:space="preserve">感官 盲视60尺；被动察觉11 
语言 无 
CR 0（XP10；PB+2） </t>
    <phoneticPr fontId="49" type="noConversion"/>
  </si>
  <si>
    <t>猫</t>
    <phoneticPr fontId="49" type="noConversion"/>
  </si>
  <si>
    <t>+4</t>
    <phoneticPr fontId="49" type="noConversion"/>
  </si>
  <si>
    <t>+0</t>
    <phoneticPr fontId="49" type="noConversion"/>
  </si>
  <si>
    <t>12</t>
    <phoneticPr fontId="49" type="noConversion"/>
  </si>
  <si>
    <t>蛙</t>
    <phoneticPr fontId="49" type="noConversion"/>
  </si>
  <si>
    <t>20尺，游泳20尺</t>
  </si>
  <si>
    <t xml:space="preserve">技能 察觉+1，隐匿+3 
感官 黑暗视觉30尺；被动察觉11 
语言 无 
CR 0（XP10；PB+2） </t>
    <phoneticPr fontId="49" type="noConversion"/>
  </si>
  <si>
    <t>隼</t>
    <phoneticPr fontId="49" type="noConversion"/>
  </si>
  <si>
    <t>+3</t>
    <phoneticPr fontId="49" type="noConversion"/>
  </si>
  <si>
    <t>10尺，飞行60尺</t>
  </si>
  <si>
    <t>蜥蜴</t>
    <phoneticPr fontId="49" type="noConversion"/>
  </si>
  <si>
    <t>20尺，攀爬20尺</t>
  </si>
  <si>
    <t xml:space="preserve">感官 黑暗视觉30尺；被动察觉9 
语言 无 
CR 0（XP10；PB+2） </t>
    <phoneticPr fontId="49" type="noConversion"/>
  </si>
  <si>
    <t>章鱼</t>
    <phoneticPr fontId="49" type="noConversion"/>
  </si>
  <si>
    <t>小型</t>
    <phoneticPr fontId="49" type="noConversion"/>
  </si>
  <si>
    <t>5尺，游泳30尺</t>
  </si>
  <si>
    <t>11</t>
    <phoneticPr fontId="49" type="noConversion"/>
  </si>
  <si>
    <t>猫头鹰</t>
    <phoneticPr fontId="49" type="noConversion"/>
  </si>
  <si>
    <t>5尺，飞行60尺</t>
  </si>
  <si>
    <t>鼠</t>
    <phoneticPr fontId="49" type="noConversion"/>
  </si>
  <si>
    <t>10</t>
    <phoneticPr fontId="49" type="noConversion"/>
  </si>
  <si>
    <t>4</t>
    <phoneticPr fontId="49" type="noConversion"/>
  </si>
  <si>
    <t>渡鸦</t>
    <phoneticPr fontId="49" type="noConversion"/>
  </si>
  <si>
    <t>10尺，飞行50尺</t>
  </si>
  <si>
    <t>蜘蛛</t>
    <phoneticPr fontId="49" type="noConversion"/>
  </si>
  <si>
    <t xml:space="preserve">技能 隐匿+4 
感官 黑暗视觉30尺；被动察觉10 
语言 无 
CR 0（XP10；PB+2） </t>
    <phoneticPr fontId="49" type="noConversion"/>
  </si>
  <si>
    <t>蛛行Spider Climb。蜘蛛可以在难以攀爬的表面上攀爬，包括沿着天花板移动，且无需为此进行属性检定。
蛛网行者Web Walker。蜘蛛在蛛网上移动时无视蛛网造成的移动限制，且与蛛网接触期间，蜘蛛可以知道其他与该蛛网接触生物的准确位置。</t>
    <phoneticPr fontId="49" type="noConversion"/>
  </si>
  <si>
    <t xml:space="preserve">啃咬Bite。近战攻击检定：+4，触及5尺。命中：1穿刺伤害外加2（1d4）毒素伤害。 </t>
    <phoneticPr fontId="49" type="noConversion"/>
  </si>
  <si>
    <t>小魔鬼</t>
    <phoneticPr fontId="49" type="noConversion"/>
  </si>
  <si>
    <t>邪魔</t>
    <phoneticPr fontId="49" type="noConversion"/>
  </si>
  <si>
    <t>20尺，飞行40尺</t>
  </si>
  <si>
    <t>伪龙</t>
    <phoneticPr fontId="49" type="noConversion"/>
  </si>
  <si>
    <t>龙类</t>
  </si>
  <si>
    <t>15尺，飞行60尺</t>
  </si>
  <si>
    <t>40尺</t>
  </si>
  <si>
    <t>10尺，飞行40尺</t>
    <phoneticPr fontId="49" type="noConversion"/>
  </si>
  <si>
    <t>毒蛇</t>
    <phoneticPr fontId="49" type="noConversion"/>
  </si>
  <si>
    <t>30尺，游泳30尺</t>
  </si>
  <si>
    <t>盾牌</t>
    <phoneticPr fontId="49" type="noConversion"/>
  </si>
  <si>
    <t>等级</t>
    <phoneticPr fontId="49" type="noConversion"/>
  </si>
  <si>
    <t>食人鱼</t>
    <phoneticPr fontId="49" type="noConversion"/>
  </si>
  <si>
    <t>海马</t>
    <phoneticPr fontId="49" type="noConversion"/>
  </si>
  <si>
    <t>鼬鼠</t>
    <phoneticPr fontId="49" type="noConversion"/>
  </si>
  <si>
    <t>夸塞魔</t>
    <phoneticPr fontId="49" type="noConversion"/>
  </si>
  <si>
    <t>小妖精</t>
    <phoneticPr fontId="49" type="noConversion"/>
  </si>
  <si>
    <t>回声定位Echolocation。蝙蝠陷入耳聋时无法使用盲视。
敏锐听觉Keen Hearing。蝙蝠依赖听觉进行的感知（察觉）检定具有优势。</t>
    <phoneticPr fontId="49" type="noConversion"/>
  </si>
  <si>
    <t>啃咬Bite。近战武器攻击：命中+0，触及5尺，单一生物。命中：1点穿刺伤害。</t>
    <phoneticPr fontId="49" type="noConversion"/>
  </si>
  <si>
    <t>技能：察觉+3，隐匿+4
感官：被动察觉13
语言：——
挑战等级：0（10XP）</t>
    <phoneticPr fontId="49" type="noConversion"/>
  </si>
  <si>
    <t>敏锐嗅觉Keen Smell。猫依赖嗅觉进行的感知（察觉）检定具有优势。</t>
    <phoneticPr fontId="49" type="noConversion"/>
  </si>
  <si>
    <t>爪击Claws。近战武器攻击：命中+0，触及5尺，单一目标。命中：1点挥砍伤害。</t>
    <phoneticPr fontId="49" type="noConversion"/>
  </si>
  <si>
    <t>蟹</t>
    <phoneticPr fontId="49" type="noConversion"/>
  </si>
  <si>
    <t>20尺，游泳20尺</t>
    <phoneticPr fontId="49" type="noConversion"/>
  </si>
  <si>
    <t>2</t>
    <phoneticPr fontId="49" type="noConversion"/>
  </si>
  <si>
    <t>1</t>
    <phoneticPr fontId="49" type="noConversion"/>
  </si>
  <si>
    <t>8</t>
    <phoneticPr fontId="49" type="noConversion"/>
  </si>
  <si>
    <t>技能：隐匿+2
感官：盲视30尺，被动察觉9
语言：——
挑战等级：0（10 XP）</t>
    <phoneticPr fontId="49" type="noConversion"/>
  </si>
  <si>
    <t>水陆两栖Amphibious。蟹可以在空气和水中呼吸。</t>
    <phoneticPr fontId="49" type="noConversion"/>
  </si>
  <si>
    <t>爪击Claws。近战武器攻击：命中+0，触及5尺，单一目标。命中：1点钝击伤害。</t>
    <phoneticPr fontId="49" type="noConversion"/>
  </si>
  <si>
    <t>青蛙frog无有效攻击手段。它以小昆虫为食，栖息地靠近水源、树林或地底。青蛙的资料也可以用来代表蟾蜍toad。</t>
    <phoneticPr fontId="49" type="noConversion"/>
  </si>
  <si>
    <t>水陆两栖Amphibious。青蛙可以在空气和水中呼吸。
立定起跳Standing Leap。青蛙不需要助跑就可以跳10尺远、5尺高，且视为移动的一部分。</t>
    <phoneticPr fontId="49" type="noConversion"/>
  </si>
  <si>
    <t>技能：察觉+4
感官：被动察觉14
语言：——
挑战等级：0（10XP）</t>
    <phoneticPr fontId="49" type="noConversion"/>
  </si>
  <si>
    <t>敏锐视觉Keen Sight。鹰依赖视觉进行的感知（察觉）检定具有优势。</t>
    <phoneticPr fontId="49" type="noConversion"/>
  </si>
  <si>
    <t>禽爪Talons。近战武器攻击：命中+5，触及5尺，单一目标。命中：1点挥砍伤害。</t>
    <phoneticPr fontId="49" type="noConversion"/>
  </si>
  <si>
    <t>啃咬Bite。近战武器攻击：命中+0，触及5尺，单一目标。命中：1点穿刺伤害。</t>
    <phoneticPr fontId="49" type="noConversion"/>
  </si>
  <si>
    <t>技能：察觉+2，隐匿+4
感官：黑暗视觉30尺，被动察觉12
语言：——
挑战等级：0（10 XP）</t>
    <phoneticPr fontId="49" type="noConversion"/>
  </si>
  <si>
    <t>屏息Hold Breath。离水后，章鱼可以憋气1小时。
水下伪装Underwater Camouflage。章鱼在水下地形中进行躲藏时所作的敏捷（隐匿）检定具有优势。
水下呼吸Water Breathing。章鱼只能在水下呼吸。</t>
    <phoneticPr fontId="49" type="noConversion"/>
  </si>
  <si>
    <t>技能：察觉+3，隐匿+3
感官：黑暗视觉120尺，被动察觉13
语言：——
挑战等级：0（10 XP）</t>
    <phoneticPr fontId="49" type="noConversion"/>
  </si>
  <si>
    <t>飞掠Flyby。猫头鹰飞出敌人的触及范围时不会引起借机攻击。
敏锐视听觉Keen Hearing and Sight。猫头鹰依赖视觉和听觉进行的感知（察觉）检定具有优势。</t>
    <phoneticPr fontId="49" type="noConversion"/>
  </si>
  <si>
    <t>禽爪Talons。近战武器攻击：命中+3，触及5尺，单一目标。命中：1点挥砍伤害。</t>
    <phoneticPr fontId="49" type="noConversion"/>
  </si>
  <si>
    <t>0尺，游泳40尺</t>
    <phoneticPr fontId="49" type="noConversion"/>
  </si>
  <si>
    <t>16</t>
    <phoneticPr fontId="49" type="noConversion"/>
  </si>
  <si>
    <t>9</t>
    <phoneticPr fontId="49" type="noConversion"/>
  </si>
  <si>
    <t>7</t>
    <phoneticPr fontId="49" type="noConversion"/>
  </si>
  <si>
    <t>血腥狂怒Blood Frenzy。食人鱼对生命值没有全满的生物发动近战攻击时，其攻击检定具有优势。
水下呼吸Water Breathing。食人鱼只能在水下呼吸。</t>
    <phoneticPr fontId="49" type="noConversion"/>
  </si>
  <si>
    <t>啃咬Bite。近战武器攻击：命中＋5，触及5尺，单一目标。命中：1点穿刺伤害。</t>
    <phoneticPr fontId="49" type="noConversion"/>
  </si>
  <si>
    <t>20尺</t>
    <phoneticPr fontId="49" type="noConversion"/>
  </si>
  <si>
    <t>40尺，攀爬30尺</t>
    <phoneticPr fontId="49" type="noConversion"/>
  </si>
  <si>
    <t>敏锐嗅觉Keen Smell。老鼠依赖嗅觉进行的感知（察觉）检定具有优势。</t>
    <phoneticPr fontId="49" type="noConversion"/>
  </si>
  <si>
    <t>感官：黑暗视觉30尺，被动察觉10
语言：——
挑战等级：0（10 XP）</t>
    <phoneticPr fontId="49" type="noConversion"/>
  </si>
  <si>
    <t>技能：察觉+3
感官：被动察觉13
语言：——
挑战等级：0（10 XP）</t>
    <phoneticPr fontId="49" type="noConversion"/>
  </si>
  <si>
    <t>拟声Mimicry。渡鸦可以模仿听到的简单声音，比如人的低语声、婴儿的哭声、动物的交谈声等。听到该声音的生物可以进行一次DC 10的感知（洞悉）检定，检定成功则发现其是模仿的声音。</t>
    <phoneticPr fontId="49" type="noConversion"/>
  </si>
  <si>
    <t>喙啄Beak。近战武器攻击：命中+4，触及5尺，单一目标。命中：1点穿刺伤害。</t>
    <phoneticPr fontId="49" type="noConversion"/>
  </si>
  <si>
    <t>0尺，游泳20尺</t>
    <phoneticPr fontId="49" type="noConversion"/>
  </si>
  <si>
    <t>感官：被动察觉10
语言：——
挑战等级：0（0 XP）</t>
    <phoneticPr fontId="49" type="noConversion"/>
  </si>
  <si>
    <t>水下呼吸Water Breathing。海马只能在水下呼吸。</t>
    <phoneticPr fontId="49" type="noConversion"/>
  </si>
  <si>
    <t>技能：察觉+3，隐匿+5
感官：被动察觉13
语言：——
挑战等级：0（10 XP）</t>
    <phoneticPr fontId="49" type="noConversion"/>
  </si>
  <si>
    <t>敏锐嗅听觉Keen Hearing and Smell。鼬鼠依赖听觉或嗅觉进行的感知（察觉）检定具有优势。</t>
    <phoneticPr fontId="49" type="noConversion"/>
  </si>
  <si>
    <t>啃咬Bite。近战武器攻击：命中+5，触及5尺，单一目标。命中：1点穿刺伤害。</t>
    <phoneticPr fontId="49" type="noConversion"/>
  </si>
  <si>
    <t>感官：盲视10尺，被动察觉10
语言：———
挑战等级：1/8（25 XP）</t>
    <phoneticPr fontId="49" type="noConversion"/>
  </si>
  <si>
    <t>啃咬Bite。近战武器攻击：命中+5，触及5尺，单一目标。命中：1点穿刺伤害，目标必须进行一次DC 10的体质豁免，豁免失败则受到5（2d4）点毒素伤害，豁免成功则伤害减半。</t>
    <phoneticPr fontId="49" type="noConversion"/>
  </si>
  <si>
    <t>技能：欺瞒+4，洞悉+3，游说+4，隐匿+5
伤害抗性：冷冻，非银质武器且非魔法攻击的钝击、穿刺、挥砍
伤害免疫：火焰，毒素
状态免疫：中毒
感官：黑暗视觉120尺，被动察觉11
语言：炼狱语，通用语
挑战等级：1（200 XP）</t>
    <phoneticPr fontId="49" type="noConversion"/>
  </si>
  <si>
    <t>钉刺Sting（野兽形态为啃咬Bite）。近战武器攻击：命中+5，触及5尺，单一目标。命中：5（1d4+3）点穿刺伤害，目标必须进行一次DC 11的体质豁免，豁免失败则受到10（3d6）点毒素伤害，豁免成功则伤害减半。
隐形Invisibility。小魔鬼使用魔法隐去身形，效果持续到它发动攻击或其专注被打断（如同专注于法术）。其着装和携带的装备将一同进入隐形状态。</t>
    <phoneticPr fontId="49" type="noConversion"/>
  </si>
  <si>
    <t>技能：隐匿+5
伤害抗性：冷冻，火焰，闪电，非魔法攻击的钝击、穿刺、挥砍
伤害免疫：毒素
状态免疫：中毒
感官：黑暗视觉120尺，被动察觉10
语言：深渊语，通用语
挑战等级：1（200 XP）</t>
    <phoneticPr fontId="49" type="noConversion"/>
  </si>
  <si>
    <t>爪击Claw（野兽形态时为啃咬Bite）。近战武器攻击：命中+4，触及5尺，单一目标。命中：5（1d4+3）点穿刺伤害，目标必须进行一次DC 10的体质豁免，豁免失败则受到5（2d4）点毒素伤害，并且陷入中毒，中毒状态持续1分钟。该生物可以在每个其自己回合结束时再次进行一次该豁免，并在豁免成功时结束中毒效应。
惊吓Scare（1/日）。夸塞魔指定其身边20尺范围内的一个生物，该生物必须进行一次DC 10的感知豁免，豁免失败则陷入恐慌，恐慌效应持续1分钟。该生物可以在每个其自己回合结束时再次进行该豁免（在夸塞魔视线范围内时豁免具有劣势），并在豁免成功时结束恐慌效应。
隐形Invisibility。夸塞魔使用魔法隐去身形，效果持续到它发动攻击，使用惊吓动作或其专注被打断（如同专注法术）。其着装和携带的装备一同进入隐形状态。</t>
    <phoneticPr fontId="49" type="noConversion"/>
  </si>
  <si>
    <t>变形生物Shapechanger。夸塞魔用一个动作变形为一只野兽的相仿形态。可选野兽形态有三种：蝙蝠bat（速度10尺，飞行40尺），蜈蚣centipede（速度40尺，攀爬40尺），蟾蜍toad（速度40尺，游泳40尺）。它也同样可以用该动作恢复其真实形态。除速度外，它的所有资料均不会发生改变，其随身着装和携带的装备不会随变形发生变化。在死亡时，夸塞魔将恢复其真实形态。
魔法抗性Magic Resistance。夸塞魔为抵抗法术和其它魔法效应而作的豁免检定具有优势。
魔宠Familiar。夸塞魔可以作为魔宠服侍另一个生物，它与其主人之间将建立一个心灵感应的链接。链接完成后，当两者距离在1里范围内时，其主人可以分享夸塞魔的各种感官。当夸塞魔在其主人10尺范围内时，其主人可以享有夸塞魔的魔法抗性特质。夸塞魔可以随时随意的结束其魔宠服务，并中断相应的心灵感应链接。</t>
    <phoneticPr fontId="49" type="noConversion"/>
  </si>
  <si>
    <t>变形生物Shapechanger。小魔鬼可以用一个动作变形为一只野兽的相仿形态。可选野兽形态有三种：老鼠rat（速度20尺），渡鸦raven（速度20尺，飞行60尺），蜘蛛spider（速度20尺，攀爬20尺）。它也同样可以用该动作恢复其真实形态。除速度外，它的所有数据均不会发生改变，其随身着装与携带的装备不会随变形发生变化。在死亡时，小魔鬼将恢复其真实形态。
魔鬼视界Devil's Sight。魔法黑暗不会阻碍魔鬼的黑暗视觉。
魔法抗性Magic Resistance。小魔鬼为抵抗法术和其它魔法效应而作的豁免检定具有优势。
魔宠Familiar。小魔鬼可以作为魔宠服侍另一个生物，它与其主人之间将建立一个心灵感应的链接。链接完成后，当两者距离在1里范围内时，其主人可以分享小魔鬼的各种感官。当小魔鬼在其主人10尺范围内时，其主人可以享有小魔鬼的魔法抗性特质。如果其主人违反契约，小魔鬼可以即时结束其魔宠服务，并中断相应的心灵感应链接。</t>
    <phoneticPr fontId="49" type="noConversion"/>
  </si>
  <si>
    <t>技能：察觉+3，隐匿+8
感官：被动察觉13
语言：通用语，精灵语，木族语
挑战等级：1/4（50 XP）</t>
    <phoneticPr fontId="49" type="noConversion"/>
  </si>
  <si>
    <t>长剑Longsword。近战武器攻击：命中+2，触及5尺，单一目标。命中：1点挥砍伤害。
短弓Shortbow。远程武器攻击：命中+6，射程40/160尺，单一目标。命中：2点穿刺伤害，且目标必须成功通过一次DC 10的体质豁免否则中毒1分钟。如果豁免失败并低出5点或更少，则中毒目标在效应期间同时陷入昏迷，昏迷效应也可以在目标受到伤害，或又另一生物用一个动作将其摇醒时提前终止。
心之视界Heart Sight。小妖精触碰一个生物并以魔法得知该生物当前的情绪状态。如果该目标在一次DC 10的魅力豁免中失败，则小妖精还会知晓该生物的阵营。天界生物、邪魔和不死生物进行该豁免时直接判为失败。
隐形Invisibility。小妖精以魔法变为隐形，其效应直至它发动攻击或施展法术，或直至其专注结束（如同专注于法术）。小妖精着装或携带的所有装备也会随之一起隐形。</t>
    <phoneticPr fontId="49" type="noConversion"/>
  </si>
  <si>
    <t>技能：察觉+3，隐匿+4
感官：盲视10尺，黑暗视觉60尺，被动察觉13
语言：懂通用语和龙语但不能说
挑战等级：1/4（50 XP）</t>
    <phoneticPr fontId="49" type="noConversion"/>
  </si>
  <si>
    <t>敏锐感官Keen Senses。伪龙依赖视觉、听觉及嗅觉进行的感知（察觉）检定具备优势。
魔法抗性Magic Resistance。伪龙为抵抗法术和其它魔法效应而作的豁免检定具有优势。
有限感应Limited Telepathy。伪龙可以用魔法与其周边100尺内任意掌握一门语言的生物通过心灵感应进行交流，以传递一些简单的想法、情绪和图像。
魔宠Familiar。伪龙可以作为魔宠服务于其它生物，透过魔法与该自愿的伙伴建立心灵连结。两者建立连结后，只要两方距离1里范围内，伙伴便可以感知伪龙感官所及之物。当伪龙身处其伙伴10尺范围内时，其伙伴即可以分享伪龙的“魔法抗性”特质。伪龙可以随时随意的终止其服务，并中断其心灵连结。</t>
    <phoneticPr fontId="49" type="noConversion"/>
  </si>
  <si>
    <t>啃咬Bite。近战武器攻击：命中+4，触及5尺，单一目标。命中：4（1d4+2）点穿刺伤害。
钉刺Sting。近战武器攻击：命中+4，触及5尺，单一生物。命中：4（1d4+2）点穿刺伤害，目标必须成功通过DC 11的体质豁免否则中毒1小时。如果豁免失败且骰值低出5或更低，则目标将在中毒持续时间内昏迷，受到伤害或其他生物用一个动作将其摇醒时也可以提前终止其昏迷效应。</t>
    <phoneticPr fontId="49" type="noConversion"/>
  </si>
  <si>
    <t>感官：黑暗视觉60尺，被动察觉8
语言：——
挑战等级：0（10 XP）</t>
    <phoneticPr fontId="49" type="noConversion"/>
  </si>
  <si>
    <t>触须Tentacles。近战武器攻击：命中+4，触及5尺，单一目标。命中：1点钝击伤害，且目标其被擒抱（逃脱DC 10）。直至擒抱终止前，该目标被束缚，且章鱼无法再对另一目标使用其触须攻击。
墨汁云Ink Cloud（短休或长休后充能）。章鱼在水下时可以向身边5尺半径范围内释放出墨汁。随后1分钟里该区域将处于重度遮蔽，不过一阵流经该地的水流即可以驱散墨汁。释放墨汁后，该章鱼即可用一个附赠动作来执行疾走Dash动作。</t>
    <phoneticPr fontId="49" type="noConversion"/>
  </si>
  <si>
    <t>精类</t>
    <phoneticPr fontId="49" type="noConversion"/>
  </si>
  <si>
    <t>黑视</t>
    <phoneticPr fontId="49" type="noConversion"/>
  </si>
  <si>
    <t>临时生命</t>
    <phoneticPr fontId="49" type="noConversion"/>
  </si>
  <si>
    <t>被察</t>
    <phoneticPr fontId="49" type="noConversion"/>
  </si>
  <si>
    <t>名称</t>
    <phoneticPr fontId="49" type="noConversion"/>
  </si>
  <si>
    <t>回复</t>
    <phoneticPr fontId="49" type="noConversion"/>
  </si>
  <si>
    <t>武器</t>
    <phoneticPr fontId="49" type="noConversion"/>
  </si>
  <si>
    <t>万事通</t>
    <phoneticPr fontId="49" type="noConversion"/>
  </si>
  <si>
    <t>稀有度</t>
    <phoneticPr fontId="49" type="noConversion"/>
  </si>
  <si>
    <r>
      <t>3.0</t>
    </r>
    <r>
      <rPr>
        <sz val="11"/>
        <color theme="1"/>
        <rFont val="宋体"/>
        <family val="1"/>
        <charset val="134"/>
      </rPr>
      <t>之前：排版修改成横板</t>
    </r>
    <r>
      <rPr>
        <sz val="11"/>
        <color theme="1"/>
        <rFont val="Times New Roman"/>
        <family val="1"/>
      </rPr>
      <t xml:space="preserve">
————————————
3.1</t>
    </r>
    <r>
      <rPr>
        <sz val="11"/>
        <color theme="1"/>
        <rFont val="宋体"/>
        <family val="1"/>
        <charset val="134"/>
      </rPr>
      <t>：塔莎书法术及子职加入。</t>
    </r>
    <r>
      <rPr>
        <sz val="11"/>
        <color theme="1"/>
        <rFont val="Times New Roman"/>
        <family val="1"/>
      </rPr>
      <t xml:space="preserve">
3.2.0</t>
    </r>
    <r>
      <rPr>
        <sz val="11"/>
        <color theme="1"/>
        <rFont val="宋体"/>
        <family val="1"/>
        <charset val="134"/>
      </rPr>
      <t>：生命骰显示总数（但依旧没有分大小）。</t>
    </r>
    <r>
      <rPr>
        <sz val="11"/>
        <color theme="1"/>
        <rFont val="Times New Roman"/>
        <family val="1"/>
      </rPr>
      <t xml:space="preserve">
3.2.1</t>
    </r>
    <r>
      <rPr>
        <sz val="11"/>
        <color theme="1"/>
        <rFont val="宋体"/>
        <family val="1"/>
        <charset val="134"/>
      </rPr>
      <t>：背景与语言增加下拉栏。</t>
    </r>
    <r>
      <rPr>
        <sz val="11"/>
        <color theme="1"/>
        <rFont val="Times New Roman"/>
        <family val="1"/>
      </rPr>
      <t xml:space="preserve">
3.2.2</t>
    </r>
    <r>
      <rPr>
        <sz val="11"/>
        <color theme="1"/>
        <rFont val="宋体"/>
        <family val="1"/>
        <charset val="134"/>
      </rPr>
      <t>：武器增加枪械可选项，伤害骰与伤害类型增加公式，攻击骰显示最终数值而非算式。</t>
    </r>
    <r>
      <rPr>
        <sz val="11"/>
        <color theme="1"/>
        <rFont val="Times New Roman"/>
        <family val="1"/>
      </rPr>
      <t xml:space="preserve">
3.2.3</t>
    </r>
    <r>
      <rPr>
        <sz val="11"/>
        <color theme="1"/>
        <rFont val="宋体"/>
        <family val="1"/>
        <charset val="134"/>
      </rPr>
      <t>：护甲增加法师护甲以及两种无甲防御。</t>
    </r>
    <r>
      <rPr>
        <sz val="11"/>
        <color theme="1"/>
        <rFont val="Times New Roman"/>
        <family val="1"/>
      </rPr>
      <t xml:space="preserve">
3.2.4</t>
    </r>
    <r>
      <rPr>
        <sz val="11"/>
        <color theme="1"/>
        <rFont val="宋体"/>
        <family val="1"/>
        <charset val="134"/>
      </rPr>
      <t>：背景对应特性增加下拉栏。</t>
    </r>
    <r>
      <rPr>
        <sz val="11"/>
        <color theme="1"/>
        <rFont val="Times New Roman"/>
        <family val="1"/>
      </rPr>
      <t xml:space="preserve">
3.2.5</t>
    </r>
    <r>
      <rPr>
        <sz val="11"/>
        <color theme="1"/>
        <rFont val="宋体"/>
        <family val="1"/>
        <charset val="134"/>
      </rPr>
      <t>：合并法术书与法术查询界面，法术书扩充到</t>
    </r>
    <r>
      <rPr>
        <sz val="11"/>
        <color theme="1"/>
        <rFont val="Times New Roman"/>
        <family val="1"/>
      </rPr>
      <t>150</t>
    </r>
    <r>
      <rPr>
        <sz val="11"/>
        <color theme="1"/>
        <rFont val="宋体"/>
        <family val="1"/>
        <charset val="134"/>
      </rPr>
      <t>道。</t>
    </r>
    <r>
      <rPr>
        <sz val="11"/>
        <color theme="1"/>
        <rFont val="Times New Roman"/>
        <family val="1"/>
      </rPr>
      <t xml:space="preserve">
3.2.6</t>
    </r>
    <r>
      <rPr>
        <sz val="11"/>
        <color theme="1"/>
        <rFont val="宋体"/>
        <family val="1"/>
        <charset val="134"/>
      </rPr>
      <t>：护甲增加分隔栏。</t>
    </r>
    <r>
      <rPr>
        <sz val="11"/>
        <color theme="1"/>
        <rFont val="Times New Roman"/>
        <family val="1"/>
      </rPr>
      <t xml:space="preserve">
————————————
3.3.0</t>
    </r>
    <r>
      <rPr>
        <sz val="11"/>
        <color theme="1"/>
        <rFont val="宋体"/>
        <family val="1"/>
        <charset val="134"/>
      </rPr>
      <t>：修改排版，删除主界面查询已准备法术效果的功能（毕竟可以直接在法术书中查询），新增已知戏法与无消耗法术，合并法术</t>
    </r>
    <r>
      <rPr>
        <sz val="11"/>
        <color theme="1"/>
        <rFont val="Times New Roman"/>
        <family val="1"/>
      </rPr>
      <t>DC</t>
    </r>
    <r>
      <rPr>
        <sz val="11"/>
        <color theme="1"/>
        <rFont val="宋体"/>
        <family val="1"/>
        <charset val="134"/>
      </rPr>
      <t>与攻击骰速查；增加个人总资产计数；准备法术数量按照主职</t>
    </r>
    <r>
      <rPr>
        <sz val="11"/>
        <color theme="1"/>
        <rFont val="Times New Roman"/>
        <family val="1"/>
      </rPr>
      <t>/</t>
    </r>
    <r>
      <rPr>
        <sz val="11"/>
        <color theme="1"/>
        <rFont val="宋体"/>
        <family val="1"/>
        <charset val="134"/>
      </rPr>
      <t>兼职区分；技能熟练增加专精与万事通选择。</t>
    </r>
    <r>
      <rPr>
        <sz val="11"/>
        <color theme="1"/>
        <rFont val="Times New Roman"/>
        <family val="1"/>
      </rPr>
      <t xml:space="preserve">
3.3.1</t>
    </r>
    <r>
      <rPr>
        <sz val="11"/>
        <color theme="1"/>
        <rFont val="宋体"/>
        <family val="1"/>
        <charset val="134"/>
      </rPr>
      <t>：将法术查询的数据替换为太易的法术大全，法术大全新增专注分栏。法术书增加仪式标注。（法术大全个人是更倾向于在第一页就能看到职业栏，所以法术详情等栏的长度没拉长）</t>
    </r>
    <r>
      <rPr>
        <sz val="11"/>
        <color theme="1"/>
        <rFont val="Times New Roman"/>
        <family val="1"/>
      </rPr>
      <t xml:space="preserve">
3.3.2</t>
    </r>
    <r>
      <rPr>
        <sz val="11"/>
        <color theme="1"/>
        <rFont val="宋体"/>
        <family val="1"/>
        <charset val="134"/>
      </rPr>
      <t>：不全书除</t>
    </r>
    <r>
      <rPr>
        <sz val="11"/>
        <color theme="1"/>
        <rFont val="Times New Roman"/>
        <family val="1"/>
      </rPr>
      <t>ua</t>
    </r>
    <r>
      <rPr>
        <sz val="11"/>
        <color theme="1"/>
        <rFont val="宋体"/>
        <family val="1"/>
        <charset val="134"/>
      </rPr>
      <t>及第三方子职与专长收录完成，收录依据为玩家速查。</t>
    </r>
    <r>
      <rPr>
        <sz val="11"/>
        <color theme="1"/>
        <rFont val="Times New Roman"/>
        <family val="1"/>
      </rPr>
      <t xml:space="preserve">
3.3.3</t>
    </r>
    <r>
      <rPr>
        <sz val="11"/>
        <color theme="1"/>
        <rFont val="宋体"/>
        <family val="1"/>
        <charset val="134"/>
      </rPr>
      <t>：新增魅力项无甲防御，增加武器攻击属性值选择。</t>
    </r>
    <r>
      <rPr>
        <sz val="11"/>
        <color theme="1"/>
        <rFont val="Times New Roman"/>
        <family val="1"/>
      </rPr>
      <t xml:space="preserve">
3.3.4</t>
    </r>
    <r>
      <rPr>
        <sz val="11"/>
        <color theme="1"/>
        <rFont val="宋体"/>
        <family val="1"/>
        <charset val="134"/>
      </rPr>
      <t>：背景熟练项增加两种载具</t>
    </r>
    <r>
      <rPr>
        <sz val="11"/>
        <color theme="1"/>
        <rFont val="Times New Roman"/>
        <family val="1"/>
      </rPr>
      <t xml:space="preserve">
3.3.5</t>
    </r>
    <r>
      <rPr>
        <sz val="11"/>
        <color theme="1"/>
        <rFont val="宋体"/>
        <family val="1"/>
        <charset val="134"/>
      </rPr>
      <t>：部分名称修改</t>
    </r>
    <r>
      <rPr>
        <sz val="11"/>
        <color theme="1"/>
        <rFont val="Times New Roman"/>
        <family val="1"/>
      </rPr>
      <t xml:space="preserve">
3.3.6</t>
    </r>
    <r>
      <rPr>
        <sz val="11"/>
        <color theme="1"/>
        <rFont val="宋体"/>
        <family val="1"/>
        <charset val="134"/>
      </rPr>
      <t>：修复</t>
    </r>
    <r>
      <rPr>
        <sz val="11"/>
        <color theme="1"/>
        <rFont val="Times New Roman"/>
        <family val="1"/>
      </rPr>
      <t>bug</t>
    </r>
    <r>
      <rPr>
        <sz val="11"/>
        <color theme="1"/>
        <rFont val="宋体"/>
        <family val="1"/>
        <charset val="134"/>
      </rPr>
      <t>，增加部分个人房规选用项（游侠改为准备施法者）</t>
    </r>
    <r>
      <rPr>
        <sz val="11"/>
        <color theme="1"/>
        <rFont val="Times New Roman"/>
        <family val="1"/>
      </rPr>
      <t xml:space="preserve">
3.3.7</t>
    </r>
    <r>
      <rPr>
        <sz val="11"/>
        <color theme="1"/>
        <rFont val="宋体"/>
        <family val="1"/>
        <charset val="134"/>
      </rPr>
      <t>：修复当属性调整值为负时武器伤害计算出错的</t>
    </r>
    <r>
      <rPr>
        <sz val="11"/>
        <color theme="1"/>
        <rFont val="Times New Roman"/>
        <family val="1"/>
      </rPr>
      <t>bug</t>
    </r>
    <r>
      <rPr>
        <sz val="11"/>
        <color theme="1"/>
        <rFont val="宋体"/>
        <family val="1"/>
        <charset val="134"/>
      </rPr>
      <t>。</t>
    </r>
    <r>
      <rPr>
        <sz val="11"/>
        <color theme="1"/>
        <rFont val="Times New Roman"/>
        <family val="1"/>
      </rPr>
      <t xml:space="preserve">
3.3.8</t>
    </r>
    <r>
      <rPr>
        <sz val="11"/>
        <color theme="1"/>
        <rFont val="宋体"/>
        <family val="1"/>
        <charset val="134"/>
      </rPr>
      <t>：种族补充完成，种族特性增加自动选取（待校对）。</t>
    </r>
    <r>
      <rPr>
        <sz val="11"/>
        <color theme="1"/>
        <rFont val="Times New Roman"/>
        <family val="1"/>
      </rPr>
      <t xml:space="preserve">
3.3.9</t>
    </r>
    <r>
      <rPr>
        <sz val="11"/>
        <color theme="1"/>
        <rFont val="宋体"/>
        <family val="1"/>
        <charset val="134"/>
      </rPr>
      <t>：专长校对完成（依据为</t>
    </r>
    <r>
      <rPr>
        <sz val="11"/>
        <color theme="1"/>
        <rFont val="Times New Roman"/>
        <family val="1"/>
      </rPr>
      <t>24.6.1</t>
    </r>
    <r>
      <rPr>
        <sz val="11"/>
        <color theme="1"/>
        <rFont val="宋体"/>
        <family val="1"/>
        <charset val="134"/>
      </rPr>
      <t>版不全书），补上了奇械学徒，法术书查询部分增加下拉栏，增加房规武器</t>
    </r>
    <r>
      <rPr>
        <sz val="11"/>
        <color theme="1"/>
        <rFont val="Times New Roman"/>
        <family val="1"/>
      </rPr>
      <t>-</t>
    </r>
    <r>
      <rPr>
        <sz val="11"/>
        <color theme="1"/>
        <rFont val="宋体"/>
        <family val="1"/>
        <charset val="134"/>
      </rPr>
      <t>巨镰与蛮子无甲防御计算公式，修改部分主要界面布局（护甲与武器类型格拉长）。特殊词条武器在特性中增加注释</t>
    </r>
    <r>
      <rPr>
        <sz val="11"/>
        <color theme="1"/>
        <rFont val="Times New Roman"/>
        <family val="1"/>
      </rPr>
      <t xml:space="preserve">
————————————
3.4.0</t>
    </r>
    <r>
      <rPr>
        <sz val="11"/>
        <color theme="1"/>
        <rFont val="宋体"/>
        <family val="1"/>
        <charset val="134"/>
      </rPr>
      <t xml:space="preserve">：
各处外观布局更改。法术书扩位，法术大全的职业归属校对完成。增加技能熟练与专精的区分度（熟练为变蓝加粗，专精额外斜体，诗人万事通不改变），主要页面增加城主激励获取指示（也可以用来指示诗人激励）。
</t>
    </r>
    <r>
      <rPr>
        <sz val="11"/>
        <color theme="1"/>
        <rFont val="Times New Roman"/>
        <family val="1"/>
      </rPr>
      <t>3.4.1</t>
    </r>
    <r>
      <rPr>
        <sz val="11"/>
        <color theme="1"/>
        <rFont val="宋体"/>
        <family val="1"/>
        <charset val="134"/>
      </rPr>
      <t>：
种族特性校对完成（依据为</t>
    </r>
    <r>
      <rPr>
        <sz val="11"/>
        <color theme="1"/>
        <rFont val="Times New Roman"/>
        <family val="1"/>
      </rPr>
      <t>24.6.25</t>
    </r>
    <r>
      <rPr>
        <sz val="11"/>
        <color theme="1"/>
        <rFont val="宋体"/>
        <family val="1"/>
        <charset val="134"/>
      </rPr>
      <t>版不全书），增加</t>
    </r>
    <r>
      <rPr>
        <sz val="11"/>
        <color theme="1"/>
        <rFont val="Times New Roman"/>
        <family val="1"/>
      </rPr>
      <t xml:space="preserve"> </t>
    </r>
    <r>
      <rPr>
        <sz val="11"/>
        <color theme="1"/>
        <rFont val="宋体"/>
        <family val="1"/>
        <charset val="134"/>
      </rPr>
      <t>生物种类</t>
    </r>
    <r>
      <rPr>
        <sz val="11"/>
        <color theme="1"/>
        <rFont val="Times New Roman"/>
        <family val="1"/>
      </rPr>
      <t xml:space="preserve"> </t>
    </r>
    <r>
      <rPr>
        <sz val="11"/>
        <color theme="1"/>
        <rFont val="宋体"/>
        <family val="1"/>
        <charset val="134"/>
      </rPr>
      <t>选项。主页下方布局修改，魔宠熟练计算更改为</t>
    </r>
    <r>
      <rPr>
        <sz val="11"/>
        <color theme="1"/>
        <rFont val="Times New Roman"/>
        <family val="1"/>
      </rPr>
      <t>CR</t>
    </r>
    <r>
      <rPr>
        <sz val="11"/>
        <color theme="1"/>
        <rFont val="宋体"/>
        <family val="1"/>
        <charset val="134"/>
      </rPr>
      <t xml:space="preserve">而非等级，合并属性、动作、特性栏。新增骰娘导入页面，增加快速录卡功能。
</t>
    </r>
    <r>
      <rPr>
        <sz val="11"/>
        <color theme="1"/>
        <rFont val="Times New Roman"/>
        <family val="1"/>
      </rPr>
      <t>3.4.2</t>
    </r>
    <r>
      <rPr>
        <sz val="11"/>
        <color theme="1"/>
        <rFont val="宋体"/>
        <family val="1"/>
        <charset val="134"/>
      </rPr>
      <t xml:space="preserve">：
</t>
    </r>
    <r>
      <rPr>
        <sz val="11"/>
        <color theme="1"/>
        <rFont val="Times New Roman"/>
        <family val="1"/>
      </rPr>
      <t>bug</t>
    </r>
    <r>
      <rPr>
        <sz val="11"/>
        <color theme="1"/>
        <rFont val="宋体"/>
        <family val="1"/>
        <charset val="134"/>
      </rPr>
      <t>修复，部分公式优化，增加职业主子职区分，自动化优化</t>
    </r>
    <r>
      <rPr>
        <sz val="11"/>
        <color theme="1"/>
        <rFont val="Times New Roman"/>
        <family val="1"/>
      </rPr>
      <t>(</t>
    </r>
    <r>
      <rPr>
        <sz val="11"/>
        <color theme="1"/>
        <rFont val="宋体"/>
        <family val="1"/>
        <charset val="134"/>
      </rPr>
      <t>增加自动计算生命骰期望</t>
    </r>
    <r>
      <rPr>
        <sz val="11"/>
        <color theme="1"/>
        <rFont val="Times New Roman"/>
        <family val="1"/>
      </rPr>
      <t>),</t>
    </r>
    <r>
      <rPr>
        <sz val="11"/>
        <color theme="1"/>
        <rFont val="宋体"/>
        <family val="1"/>
        <charset val="134"/>
      </rPr>
      <t>主要页面法术的仪式与专注标识可视化优化（由于发现灰灰卡似乎是</t>
    </r>
    <r>
      <rPr>
        <sz val="11"/>
        <color theme="1"/>
        <rFont val="Times New Roman"/>
        <family val="1"/>
      </rPr>
      <t>bug</t>
    </r>
    <r>
      <rPr>
        <sz val="11"/>
        <color theme="1"/>
        <rFont val="宋体"/>
        <family val="1"/>
        <charset val="134"/>
      </rPr>
      <t>在运行，所以发挥了一点犟人精神），职业特性缓慢校对进行中（依据为</t>
    </r>
    <r>
      <rPr>
        <sz val="11"/>
        <color theme="1"/>
        <rFont val="Times New Roman"/>
        <family val="1"/>
      </rPr>
      <t>24.6.25</t>
    </r>
    <r>
      <rPr>
        <sz val="11"/>
        <color theme="1"/>
        <rFont val="宋体"/>
        <family val="1"/>
        <charset val="134"/>
      </rPr>
      <t>版不全书）。</t>
    </r>
    <r>
      <rPr>
        <sz val="11"/>
        <color theme="1"/>
        <rFont val="Times New Roman"/>
        <family val="1"/>
      </rPr>
      <t xml:space="preserve">
3.4.3</t>
    </r>
    <r>
      <rPr>
        <sz val="11"/>
        <color theme="1"/>
        <rFont val="宋体"/>
        <family val="1"/>
        <charset val="134"/>
      </rPr>
      <t>：
法术书页面法术查询方式优化，在下拉栏中选择法术时，左侧会直接显示法术详情。（注：在其余地方修改单元格内容后，速查这里会显示为空）
护甲增加属性查询（无甲防御公式与隐匿劣势和力量需求）。
主要界面单元格大小与部分单元格内容对齐修改。
武器增加徒手攻击选项，敏捷魅力无甲选项改名为舞蹈诗。</t>
    </r>
    <r>
      <rPr>
        <sz val="11"/>
        <color theme="1"/>
        <rFont val="Times New Roman"/>
        <family val="1"/>
      </rPr>
      <t xml:space="preserve">
3.4.4</t>
    </r>
    <r>
      <rPr>
        <sz val="11"/>
        <color theme="1"/>
        <rFont val="宋体"/>
        <family val="1"/>
        <charset val="134"/>
      </rPr>
      <t>：
职业特性增加等级选项，修复</t>
    </r>
    <r>
      <rPr>
        <sz val="11"/>
        <color theme="1"/>
        <rFont val="Times New Roman"/>
        <family val="1"/>
      </rPr>
      <t>bug</t>
    </r>
    <r>
      <rPr>
        <sz val="11"/>
        <color theme="1"/>
        <rFont val="宋体"/>
        <family val="1"/>
        <charset val="134"/>
      </rPr>
      <t xml:space="preserve">，增加法力值变体说明，额外法术的下拉栏内容优化
</t>
    </r>
    <r>
      <rPr>
        <sz val="11"/>
        <color theme="1"/>
        <rFont val="Times New Roman"/>
        <family val="1"/>
      </rPr>
      <t>3.4.5</t>
    </r>
    <r>
      <rPr>
        <sz val="11"/>
        <color theme="1"/>
        <rFont val="宋体"/>
        <family val="1"/>
        <charset val="134"/>
      </rPr>
      <t>：
属性豁免熟练的选职责更改为下拉栏而非勾选框，以适配不同的软件。
（这可能是最后一次更新，之后会改为</t>
    </r>
    <r>
      <rPr>
        <sz val="11"/>
        <color theme="1"/>
        <rFont val="Times New Roman"/>
        <family val="1"/>
      </rPr>
      <t>2024</t>
    </r>
    <r>
      <rPr>
        <sz val="11"/>
        <color theme="1"/>
        <rFont val="宋体"/>
        <family val="1"/>
        <charset val="134"/>
      </rPr>
      <t>版本内容）</t>
    </r>
    <r>
      <rPr>
        <sz val="11"/>
        <color theme="1"/>
        <rFont val="Times New Roman"/>
        <family val="1"/>
      </rPr>
      <t xml:space="preserve">
3.5.0</t>
    </r>
    <r>
      <rPr>
        <sz val="11"/>
        <color theme="1"/>
        <rFont val="宋体"/>
        <family val="1"/>
        <charset val="134"/>
      </rPr>
      <t>：移植部分</t>
    </r>
    <r>
      <rPr>
        <sz val="11"/>
        <color theme="1"/>
        <rFont val="Times New Roman"/>
        <family val="1"/>
      </rPr>
      <t>24</t>
    </r>
    <r>
      <rPr>
        <sz val="11"/>
        <color theme="1"/>
        <rFont val="宋体"/>
        <family val="1"/>
        <charset val="134"/>
      </rPr>
      <t xml:space="preserve">版卡的功能，风格统一，为了排版整齐塞了张大喵，然后再因此为了整齐扩大了单元格范围
</t>
    </r>
    <r>
      <rPr>
        <sz val="11"/>
        <color theme="1"/>
        <rFont val="Times New Roman"/>
        <family val="1"/>
      </rPr>
      <t>3.5.1</t>
    </r>
    <r>
      <rPr>
        <sz val="11"/>
        <color theme="1"/>
        <rFont val="宋体"/>
        <family val="1"/>
        <charset val="134"/>
      </rPr>
      <t>：继续移植，主要界面布局小调，把私货去了</t>
    </r>
    <r>
      <rPr>
        <sz val="11"/>
        <color theme="1"/>
        <rFont val="Times New Roman"/>
        <family val="1"/>
      </rPr>
      <t xml:space="preserve">
3.5.2</t>
    </r>
    <r>
      <rPr>
        <sz val="11"/>
        <color theme="1"/>
        <rFont val="宋体"/>
        <family val="1"/>
        <charset val="134"/>
      </rPr>
      <t xml:space="preserve">：删除残余的部分第三方资源，背包界面布局调整
</t>
    </r>
    <r>
      <rPr>
        <sz val="11"/>
        <color theme="1"/>
        <rFont val="Times New Roman"/>
        <family val="1"/>
      </rPr>
      <t>3.5.3</t>
    </r>
    <r>
      <rPr>
        <sz val="11"/>
        <color theme="1"/>
        <rFont val="宋体"/>
        <family val="1"/>
        <charset val="134"/>
      </rPr>
      <t xml:space="preserve">：背景布局修改，左侧三页面边框换成深灰
</t>
    </r>
    <r>
      <rPr>
        <sz val="11"/>
        <color theme="1"/>
        <rFont val="Times New Roman"/>
        <family val="1"/>
      </rPr>
      <t>3.5.4</t>
    </r>
    <r>
      <rPr>
        <sz val="11"/>
        <color theme="1"/>
        <rFont val="宋体"/>
        <family val="1"/>
        <charset val="134"/>
      </rPr>
      <t>：仅显示已达到等级的特性（未做自动显示特性等级），已选择的特性不会出现于下拉栏中，解除了除背景、主要、背包、法术书、骰娘导入及此页面外其余页面的锁定</t>
    </r>
    <r>
      <rPr>
        <sz val="11"/>
        <color theme="1"/>
        <rFont val="Times New Roman"/>
        <family val="1"/>
      </rPr>
      <t xml:space="preserve">
3.5.5</t>
    </r>
    <r>
      <rPr>
        <sz val="11"/>
        <color theme="1"/>
        <rFont val="宋体"/>
        <family val="1"/>
        <charset val="134"/>
      </rPr>
      <t xml:space="preserve">：背景页面布局信息调整
</t>
    </r>
    <r>
      <rPr>
        <sz val="11"/>
        <color theme="1"/>
        <rFont val="Times New Roman"/>
        <family val="1"/>
      </rPr>
      <t>3.5.6</t>
    </r>
    <r>
      <rPr>
        <sz val="11"/>
        <color theme="1"/>
        <rFont val="宋体"/>
        <family val="1"/>
        <charset val="134"/>
      </rPr>
      <t xml:space="preserve">：修复半施法者的施法者等级计算的错误，主要界面小调
</t>
    </r>
    <r>
      <rPr>
        <sz val="11"/>
        <color theme="1"/>
        <rFont val="Times New Roman"/>
        <family val="1"/>
      </rPr>
      <t>3.5.7</t>
    </r>
    <r>
      <rPr>
        <sz val="11"/>
        <color theme="1"/>
        <rFont val="宋体"/>
        <family val="1"/>
        <charset val="134"/>
      </rPr>
      <t>：补上异度风景战役的专长</t>
    </r>
    <phoneticPr fontId="49" type="noConversion"/>
  </si>
  <si>
    <t>DND 5E 人物卡&lt;悲灵ver.&gt;（2014）</t>
    <phoneticPr fontId="49" type="noConversion"/>
  </si>
  <si>
    <t>总计</t>
    <phoneticPr fontId="49" type="noConversion"/>
  </si>
  <si>
    <t>导入CCF</t>
  </si>
  <si>
    <t>右键下格，点击“复制”，然后切换到CCF，右键场面选择Paste (粘贴)。</t>
  </si>
  <si>
    <r>
      <t>3.5.8</t>
    </r>
    <r>
      <rPr>
        <sz val="11"/>
        <color theme="1"/>
        <rFont val="宋体"/>
        <family val="1"/>
        <charset val="134"/>
      </rPr>
      <t>：移植</t>
    </r>
    <r>
      <rPr>
        <sz val="11"/>
        <color theme="1"/>
        <rFont val="Times New Roman"/>
        <family val="1"/>
      </rPr>
      <t>24</t>
    </r>
    <r>
      <rPr>
        <sz val="11"/>
        <color theme="1"/>
        <rFont val="宋体"/>
        <family val="1"/>
        <charset val="134"/>
      </rPr>
      <t xml:space="preserve">卡魔宠速查及部分优化性功能，扩增职业特性列表
</t>
    </r>
    <r>
      <rPr>
        <sz val="11"/>
        <color theme="1"/>
        <rFont val="Times New Roman"/>
        <family val="1"/>
      </rPr>
      <t>3.5.9</t>
    </r>
    <r>
      <rPr>
        <sz val="11"/>
        <color theme="1"/>
        <rFont val="宋体"/>
        <family val="1"/>
        <charset val="134"/>
      </rPr>
      <t>：主要界面布局向</t>
    </r>
    <r>
      <rPr>
        <sz val="11"/>
        <color theme="1"/>
        <rFont val="Times New Roman"/>
        <family val="1"/>
      </rPr>
      <t>5.5E</t>
    </r>
    <r>
      <rPr>
        <sz val="11"/>
        <color theme="1"/>
        <rFont val="宋体"/>
        <family val="1"/>
        <charset val="134"/>
      </rPr>
      <t>卡的方向修正</t>
    </r>
    <r>
      <rPr>
        <sz val="11"/>
        <color theme="1"/>
        <rFont val="Times New Roman"/>
        <family val="1"/>
      </rPr>
      <t xml:space="preserve">
3.5.9_4</t>
    </r>
    <r>
      <rPr>
        <sz val="11"/>
        <color theme="1"/>
        <rFont val="宋体"/>
        <family val="1"/>
        <charset val="134"/>
      </rPr>
      <t>：导入页面增加</t>
    </r>
    <r>
      <rPr>
        <sz val="11"/>
        <color theme="1"/>
        <rFont val="Times New Roman"/>
        <family val="1"/>
      </rPr>
      <t xml:space="preserve">ccf </t>
    </r>
    <r>
      <rPr>
        <sz val="11"/>
        <color theme="1"/>
        <rFont val="宋体"/>
        <family val="1"/>
        <charset val="134"/>
      </rPr>
      <t>的自动导入</t>
    </r>
    <phoneticPr fontId="4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</si>
</sst>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尺&quot;"/>
    <numFmt numFmtId="177" formatCode="0&quot;LB&quot;"/>
    <numFmt numFmtId="178" formatCode="General&quot;gp&quot;"/>
  </numFmts>
  <fonts count="108">
    <font>
      <sz val="11"/>
      <color theme="1"/>
      <name val="宋体"/>
      <charset val="134"/>
      <scheme val="minor"/>
    </font>
    <font>
      <sz val="10"/>
      <color theme="1"/>
      <name val="微软雅黑"/>
      <family val="2"/>
      <charset val="134"/>
    </font>
    <font>
      <sz val="10"/>
      <color theme="0"/>
      <name val="微软雅黑"/>
      <family val="2"/>
      <charset val="134"/>
    </font>
    <font>
      <sz val="11"/>
      <color theme="1"/>
      <name val="微软雅黑"/>
      <family val="2"/>
      <charset val="134"/>
    </font>
    <font>
      <b/>
      <sz val="10"/>
      <color theme="1"/>
      <name val="微软雅黑"/>
      <family val="2"/>
      <charset val="134"/>
    </font>
    <font>
      <sz val="10"/>
      <name val="微软雅黑"/>
      <family val="2"/>
      <charset val="134"/>
    </font>
    <font>
      <sz val="8"/>
      <color theme="1" tint="0.499984740745262"/>
      <name val="微软雅黑"/>
      <family val="2"/>
      <charset val="134"/>
    </font>
    <font>
      <sz val="8"/>
      <color theme="0" tint="-0.499984740745262"/>
      <name val="微软雅黑"/>
      <family val="2"/>
      <charset val="134"/>
    </font>
    <font>
      <sz val="8"/>
      <color theme="0" tint="-0.34998626667073579"/>
      <name val="微软雅黑"/>
      <family val="2"/>
      <charset val="134"/>
    </font>
    <font>
      <sz val="10"/>
      <color rgb="FFF7F7EB"/>
      <name val="微软雅黑"/>
      <family val="2"/>
      <charset val="134"/>
    </font>
    <font>
      <sz val="8"/>
      <color theme="1"/>
      <name val="微软雅黑"/>
      <family val="2"/>
      <charset val="134"/>
    </font>
    <font>
      <b/>
      <sz val="10"/>
      <color rgb="FFFFFCEB"/>
      <name val="微软雅黑"/>
      <family val="2"/>
      <charset val="134"/>
    </font>
    <font>
      <b/>
      <sz val="10"/>
      <color theme="0" tint="-4.9989318521683403E-2"/>
      <name val="微软雅黑"/>
      <family val="2"/>
      <charset val="134"/>
    </font>
    <font>
      <b/>
      <sz val="10"/>
      <color rgb="FFFEEF00"/>
      <name val="微软雅黑"/>
      <family val="2"/>
      <charset val="134"/>
    </font>
    <font>
      <b/>
      <sz val="10"/>
      <color theme="0"/>
      <name val="微软雅黑"/>
      <family val="2"/>
      <charset val="134"/>
    </font>
    <font>
      <b/>
      <sz val="10"/>
      <color rgb="FFB87333"/>
      <name val="微软雅黑"/>
      <family val="2"/>
      <charset val="134"/>
    </font>
    <font>
      <sz val="24"/>
      <color theme="1"/>
      <name val="微软雅黑"/>
      <family val="2"/>
      <charset val="134"/>
    </font>
    <font>
      <b/>
      <sz val="11"/>
      <color theme="1"/>
      <name val="微软雅黑"/>
      <family val="2"/>
      <charset val="134"/>
    </font>
    <font>
      <sz val="10"/>
      <color theme="0" tint="-0.499984740745262"/>
      <name val="微软雅黑"/>
      <family val="2"/>
      <charset val="134"/>
    </font>
    <font>
      <sz val="9"/>
      <name val="微软雅黑"/>
      <family val="2"/>
      <charset val="134"/>
    </font>
    <font>
      <sz val="11"/>
      <color theme="0" tint="-0.499984740745262"/>
      <name val="微软雅黑"/>
      <family val="2"/>
      <charset val="134"/>
    </font>
    <font>
      <sz val="9"/>
      <color theme="1"/>
      <name val="微软雅黑"/>
      <family val="2"/>
      <charset val="134"/>
    </font>
    <font>
      <sz val="9"/>
      <color theme="0"/>
      <name val="微软雅黑"/>
      <family val="2"/>
      <charset val="134"/>
    </font>
    <font>
      <b/>
      <sz val="9"/>
      <color rgb="FF0799FF"/>
      <name val="微软雅黑"/>
      <family val="2"/>
      <charset val="134"/>
    </font>
    <font>
      <b/>
      <sz val="9"/>
      <color rgb="FF6FC7FF"/>
      <name val="微软雅黑"/>
      <family val="2"/>
      <charset val="134"/>
    </font>
    <font>
      <b/>
      <sz val="9"/>
      <color theme="0" tint="-0.34998626667073579"/>
      <name val="微软雅黑"/>
      <family val="2"/>
      <charset val="134"/>
    </font>
    <font>
      <b/>
      <sz val="9"/>
      <color rgb="FFFF7777"/>
      <name val="微软雅黑"/>
      <family val="2"/>
      <charset val="134"/>
    </font>
    <font>
      <b/>
      <sz val="9"/>
      <color rgb="FFFF3939"/>
      <name val="微软雅黑"/>
      <family val="2"/>
      <charset val="134"/>
    </font>
    <font>
      <b/>
      <sz val="9"/>
      <color theme="1"/>
      <name val="微软雅黑"/>
      <family val="2"/>
      <charset val="134"/>
    </font>
    <font>
      <b/>
      <sz val="9"/>
      <color rgb="FFABE1FF"/>
      <name val="微软雅黑"/>
      <family val="2"/>
      <charset val="134"/>
    </font>
    <font>
      <b/>
      <sz val="9"/>
      <color rgb="FFDE0000"/>
      <name val="微软雅黑"/>
      <family val="2"/>
      <charset val="134"/>
    </font>
    <font>
      <sz val="10"/>
      <color theme="0" tint="-0.34998626667073579"/>
      <name val="微软雅黑"/>
      <family val="2"/>
      <charset val="134"/>
    </font>
    <font>
      <sz val="5"/>
      <color rgb="FFF7F7EB"/>
      <name val="微软雅黑"/>
      <family val="2"/>
      <charset val="134"/>
    </font>
    <font>
      <sz val="12"/>
      <color theme="1"/>
      <name val="微软雅黑"/>
      <family val="2"/>
      <charset val="134"/>
    </font>
    <font>
      <b/>
      <sz val="11"/>
      <color theme="7" tint="-0.249977111117893"/>
      <name val="微软雅黑"/>
      <family val="2"/>
      <charset val="134"/>
    </font>
    <font>
      <sz val="12"/>
      <color theme="0" tint="-0.499984740745262"/>
      <name val="微软雅黑"/>
      <family val="2"/>
      <charset val="134"/>
    </font>
    <font>
      <b/>
      <sz val="12"/>
      <color theme="7" tint="-0.249977111117893"/>
      <name val="微软雅黑"/>
      <family val="2"/>
      <charset val="134"/>
    </font>
    <font>
      <b/>
      <sz val="12"/>
      <color theme="0"/>
      <name val="微软雅黑"/>
      <family val="2"/>
      <charset val="134"/>
    </font>
    <font>
      <sz val="10"/>
      <color theme="0" tint="-0.249977111117893"/>
      <name val="微软雅黑"/>
      <family val="2"/>
      <charset val="134"/>
    </font>
    <font>
      <b/>
      <sz val="16"/>
      <color theme="9"/>
      <name val="微软雅黑"/>
      <family val="2"/>
      <charset val="134"/>
    </font>
    <font>
      <b/>
      <sz val="14"/>
      <color theme="9"/>
      <name val="微软雅黑"/>
      <family val="2"/>
      <charset val="134"/>
    </font>
    <font>
      <b/>
      <sz val="10"/>
      <color theme="7" tint="-0.249977111117893"/>
      <name val="微软雅黑"/>
      <family val="2"/>
      <charset val="134"/>
    </font>
    <font>
      <sz val="10"/>
      <color theme="7" tint="-0.249977111117893"/>
      <name val="微软雅黑"/>
      <family val="2"/>
      <charset val="134"/>
    </font>
    <font>
      <b/>
      <sz val="16"/>
      <color theme="4" tint="-0.249977111117893"/>
      <name val="微软雅黑"/>
      <family val="2"/>
      <charset val="134"/>
    </font>
    <font>
      <b/>
      <sz val="12"/>
      <color theme="4" tint="-0.249977111117893"/>
      <name val="微软雅黑"/>
      <family val="2"/>
      <charset val="134"/>
    </font>
    <font>
      <b/>
      <sz val="10"/>
      <color theme="4" tint="-0.249977111117893"/>
      <name val="微软雅黑"/>
      <family val="2"/>
      <charset val="134"/>
    </font>
    <font>
      <b/>
      <sz val="9"/>
      <color theme="4"/>
      <name val="微软雅黑"/>
      <family val="2"/>
      <charset val="134"/>
    </font>
    <font>
      <b/>
      <sz val="11"/>
      <color theme="4"/>
      <name val="微软雅黑"/>
      <family val="2"/>
      <charset val="134"/>
    </font>
    <font>
      <sz val="11"/>
      <name val="宋体"/>
      <family val="3"/>
      <charset val="134"/>
    </font>
    <font>
      <sz val="9"/>
      <name val="宋体"/>
      <family val="3"/>
      <charset val="134"/>
      <scheme val="minor"/>
    </font>
    <font>
      <sz val="11"/>
      <color theme="1"/>
      <name val="宋体"/>
      <family val="3"/>
      <charset val="134"/>
      <scheme val="minor"/>
    </font>
    <font>
      <sz val="11"/>
      <color theme="1"/>
      <name val="仿宋"/>
      <family val="3"/>
      <charset val="134"/>
    </font>
    <font>
      <sz val="11"/>
      <color theme="1"/>
      <name val="Tahoma"/>
      <family val="2"/>
    </font>
    <font>
      <sz val="11"/>
      <color theme="1"/>
      <name val="Times New Roman"/>
      <family val="1"/>
    </font>
    <font>
      <sz val="11"/>
      <color theme="1"/>
      <name val="宋体"/>
      <family val="1"/>
      <charset val="134"/>
    </font>
    <font>
      <b/>
      <sz val="11"/>
      <color theme="1"/>
      <name val="宋体"/>
      <family val="3"/>
      <charset val="134"/>
      <scheme val="minor"/>
    </font>
    <font>
      <sz val="11"/>
      <color theme="1"/>
      <name val="Microsoft JhengHei"/>
      <family val="2"/>
      <charset val="136"/>
    </font>
    <font>
      <sz val="9"/>
      <color indexed="81"/>
      <name val="微软雅黑"/>
      <family val="2"/>
      <charset val="134"/>
    </font>
    <font>
      <sz val="10"/>
      <color theme="1"/>
      <name val="宋体"/>
      <family val="3"/>
      <charset val="134"/>
      <scheme val="major"/>
    </font>
    <font>
      <b/>
      <i/>
      <u/>
      <sz val="11"/>
      <color rgb="FFFF0000"/>
      <name val="宋体"/>
      <family val="3"/>
      <charset val="134"/>
    </font>
    <font>
      <b/>
      <sz val="11"/>
      <name val="宋体"/>
      <family val="3"/>
      <charset val="134"/>
    </font>
    <font>
      <sz val="11"/>
      <color rgb="FF00B0F0"/>
      <name val="宋体"/>
      <family val="3"/>
      <charset val="134"/>
    </font>
    <font>
      <sz val="11"/>
      <color rgb="FFFF0000"/>
      <name val="宋体"/>
      <family val="3"/>
      <charset val="134"/>
    </font>
    <font>
      <sz val="11"/>
      <color rgb="FFFF0000"/>
      <name val="宋体"/>
      <family val="3"/>
      <charset val="134"/>
      <scheme val="minor"/>
    </font>
    <font>
      <sz val="11"/>
      <color rgb="FF0070C0"/>
      <name val="宋体"/>
      <family val="3"/>
      <charset val="134"/>
    </font>
    <font>
      <b/>
      <i/>
      <sz val="11"/>
      <color theme="1"/>
      <name val="宋体"/>
      <family val="3"/>
      <charset val="134"/>
      <scheme val="minor"/>
    </font>
    <font>
      <b/>
      <sz val="11"/>
      <color theme="0"/>
      <name val="宋体"/>
      <family val="3"/>
      <charset val="134"/>
    </font>
    <font>
      <b/>
      <sz val="11"/>
      <color theme="0"/>
      <name val="宋体"/>
      <family val="1"/>
      <charset val="134"/>
    </font>
    <font>
      <sz val="9"/>
      <color indexed="81"/>
      <name val="宋体"/>
      <family val="3"/>
      <charset val="134"/>
    </font>
    <font>
      <sz val="12"/>
      <color theme="1"/>
      <name val="宋体"/>
      <family val="3"/>
      <charset val="134"/>
      <scheme val="minor"/>
    </font>
    <font>
      <b/>
      <sz val="11"/>
      <color theme="0"/>
      <name val="宋体"/>
      <family val="3"/>
      <charset val="134"/>
      <scheme val="minor"/>
    </font>
    <font>
      <sz val="36"/>
      <color theme="1"/>
      <name val="宋体"/>
      <family val="3"/>
      <charset val="134"/>
      <scheme val="minor"/>
    </font>
    <font>
      <sz val="11"/>
      <name val="宋体"/>
      <family val="3"/>
      <charset val="134"/>
      <scheme val="minor"/>
    </font>
    <font>
      <sz val="11"/>
      <color rgb="FF00B050"/>
      <name val="宋体"/>
      <family val="3"/>
      <charset val="134"/>
      <scheme val="minor"/>
    </font>
    <font>
      <b/>
      <sz val="9"/>
      <color theme="0"/>
      <name val="微软雅黑"/>
      <family val="2"/>
      <charset val="134"/>
    </font>
    <font>
      <sz val="10"/>
      <color theme="1"/>
      <name val="宋体"/>
      <family val="3"/>
      <charset val="134"/>
      <scheme val="minor"/>
    </font>
    <font>
      <sz val="11"/>
      <color theme="1"/>
      <name val="宋体"/>
      <family val="3"/>
      <charset val="134"/>
    </font>
    <font>
      <b/>
      <sz val="14"/>
      <color theme="1"/>
      <name val="宋体"/>
      <family val="3"/>
      <charset val="134"/>
    </font>
    <font>
      <b/>
      <sz val="14"/>
      <color theme="1"/>
      <name val="Times New Roman"/>
      <family val="1"/>
    </font>
    <font>
      <sz val="7"/>
      <color theme="1"/>
      <name val="微软雅黑"/>
      <family val="2"/>
      <charset val="134"/>
    </font>
    <font>
      <sz val="11"/>
      <color rgb="FF000000"/>
      <name val="Times New Roman"/>
      <family val="1"/>
    </font>
    <font>
      <sz val="10"/>
      <color theme="8" tint="-0.499984740745262"/>
      <name val="宋体"/>
      <family val="3"/>
      <charset val="134"/>
      <scheme val="minor"/>
    </font>
    <font>
      <sz val="10"/>
      <color theme="1"/>
      <name val="宋体"/>
      <family val="3"/>
      <charset val="134"/>
    </font>
    <font>
      <sz val="9"/>
      <name val="宋体"/>
      <family val="3"/>
      <charset val="134"/>
    </font>
    <font>
      <b/>
      <sz val="10"/>
      <name val="微软雅黑"/>
      <family val="2"/>
      <charset val="134"/>
    </font>
    <font>
      <b/>
      <sz val="11"/>
      <color theme="0"/>
      <name val="微软雅黑"/>
      <family val="2"/>
      <charset val="134"/>
    </font>
    <font>
      <b/>
      <sz val="11"/>
      <color theme="0" tint="-4.9989318521683403E-2"/>
      <name val="微软雅黑"/>
      <family val="2"/>
      <charset val="134"/>
    </font>
    <font>
      <sz val="11"/>
      <name val="微软雅黑"/>
      <family val="2"/>
      <charset val="134"/>
    </font>
    <font>
      <sz val="11"/>
      <color theme="4"/>
      <name val="微软雅黑"/>
      <family val="2"/>
      <charset val="134"/>
    </font>
    <font>
      <sz val="11"/>
      <color rgb="FF000000"/>
      <name val="宋体"/>
      <family val="3"/>
      <charset val="134"/>
    </font>
    <font>
      <b/>
      <sz val="18"/>
      <color theme="0"/>
      <name val="微软雅黑"/>
      <family val="2"/>
      <charset val="134"/>
    </font>
    <font>
      <sz val="11"/>
      <color theme="5" tint="-0.249977111117893"/>
      <name val="微软雅黑"/>
      <family val="2"/>
      <charset val="134"/>
    </font>
    <font>
      <sz val="10.5"/>
      <color theme="1"/>
      <name val="宋体"/>
      <family val="3"/>
      <charset val="134"/>
      <scheme val="minor"/>
    </font>
    <font>
      <sz val="11"/>
      <color theme="1"/>
      <name val="Courier New"/>
      <family val="3"/>
    </font>
    <font>
      <sz val="8.5"/>
      <color theme="1"/>
      <name val="微软雅黑"/>
      <family val="2"/>
      <charset val="134"/>
    </font>
    <font>
      <b/>
      <sz val="8.5"/>
      <color theme="0"/>
      <name val="微软雅黑"/>
      <family val="2"/>
      <charset val="134"/>
    </font>
    <font>
      <b/>
      <sz val="10"/>
      <color theme="4"/>
      <name val="微软雅黑"/>
      <family val="2"/>
      <charset val="134"/>
    </font>
    <font>
      <b/>
      <sz val="8"/>
      <color theme="0" tint="-0.499984740745262"/>
      <name val="微软雅黑"/>
      <family val="2"/>
      <charset val="134"/>
    </font>
    <font>
      <b/>
      <sz val="8"/>
      <color theme="0" tint="-0.34998626667073579"/>
      <name val="微软雅黑"/>
      <family val="2"/>
      <charset val="134"/>
    </font>
    <font>
      <b/>
      <sz val="10"/>
      <color theme="0" tint="-0.34998626667073579"/>
      <name val="微软雅黑"/>
      <family val="2"/>
      <charset val="134"/>
    </font>
    <font>
      <b/>
      <sz val="10"/>
      <color theme="0" tint="-0.499984740745262"/>
      <name val="微软雅黑"/>
      <family val="2"/>
      <charset val="134"/>
    </font>
    <font>
      <b/>
      <sz val="11"/>
      <color theme="0" tint="-0.34998626667073579"/>
      <name val="微软雅黑"/>
      <family val="2"/>
      <charset val="134"/>
    </font>
    <font>
      <b/>
      <sz val="11"/>
      <color theme="0" tint="-0.499984740745262"/>
      <name val="微软雅黑"/>
      <family val="2"/>
      <charset val="134"/>
    </font>
    <font>
      <sz val="11"/>
      <color theme="1"/>
      <name val="宋体"/>
      <family val="3"/>
      <charset val="134"/>
      <scheme val="major"/>
    </font>
    <font>
      <b/>
      <sz val="10"/>
      <color theme="0"/>
      <name val="Microsoft JhengHei"/>
      <family val="2"/>
      <charset val="136"/>
    </font>
    <font>
      <b/>
      <sz val="9"/>
      <color theme="7" tint="-0.249977111117893"/>
      <name val="微软雅黑"/>
      <family val="2"/>
      <charset val="134"/>
    </font>
    <font>
      <b/>
      <sz val="9"/>
      <color theme="4" tint="-0.249977111117893"/>
      <name val="微软雅黑"/>
      <family val="2"/>
      <charset val="134"/>
    </font>
    <font>
      <b/>
      <sz val="12"/>
      <color theme="0" tint="-0.499984740745262"/>
      <name val="微软雅黑"/>
      <family val="2"/>
      <charset val="134"/>
    </font>
  </fonts>
  <fills count="64">
    <fill>
      <patternFill patternType="none"/>
    </fill>
    <fill>
      <patternFill patternType="gray125"/>
    </fill>
    <fill>
      <patternFill patternType="solid">
        <fgColor rgb="FFF7F7EB"/>
        <bgColor indexed="64"/>
      </patternFill>
    </fill>
    <fill>
      <patternFill patternType="solid">
        <fgColor theme="5" tint="-0.499984740745262"/>
        <bgColor indexed="64"/>
      </patternFill>
    </fill>
    <fill>
      <patternFill patternType="solid">
        <fgColor theme="0"/>
        <bgColor indexed="64"/>
      </patternFill>
    </fill>
    <fill>
      <patternFill patternType="solid">
        <fgColor theme="4" tint="0.79995117038483843"/>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FE4F7"/>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EDEAB"/>
        <bgColor indexed="64"/>
      </patternFill>
    </fill>
    <fill>
      <patternFill patternType="solid">
        <fgColor rgb="FFF9D2E1"/>
        <bgColor indexed="64"/>
      </patternFill>
    </fill>
    <fill>
      <patternFill patternType="solid">
        <fgColor theme="2" tint="-9.9978637043366805E-2"/>
        <bgColor indexed="64"/>
      </patternFill>
    </fill>
    <fill>
      <patternFill patternType="solid">
        <fgColor rgb="FFF5D7F1"/>
        <bgColor indexed="64"/>
      </patternFill>
    </fill>
    <fill>
      <patternFill patternType="solid">
        <fgColor rgb="FFFAFEC2"/>
        <bgColor indexed="64"/>
      </patternFill>
    </fill>
    <fill>
      <patternFill patternType="solid">
        <fgColor rgb="FFB9FBFE"/>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rgb="FFFCE4D6"/>
        <bgColor indexed="64"/>
      </patternFill>
    </fill>
    <fill>
      <patternFill patternType="solid">
        <fgColor rgb="FFA9D08E"/>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rgb="FFFFF2CC"/>
        <bgColor indexed="64"/>
      </patternFill>
    </fill>
    <fill>
      <patternFill patternType="solid">
        <fgColor rgb="FFBFBFBF"/>
        <bgColor indexed="64"/>
      </patternFill>
    </fill>
    <fill>
      <patternFill patternType="solid">
        <fgColor rgb="FFFFD966"/>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B0F0"/>
        <bgColor indexed="64"/>
      </patternFill>
    </fill>
    <fill>
      <patternFill patternType="solid">
        <fgColor rgb="FFFFFF00"/>
        <bgColor indexed="64"/>
      </patternFill>
    </fill>
    <fill>
      <patternFill patternType="solid">
        <fgColor rgb="FF00B050"/>
        <bgColor indexed="64"/>
      </patternFill>
    </fill>
    <fill>
      <patternFill patternType="solid">
        <fgColor theme="7" tint="-0.249977111117893"/>
        <bgColor indexed="64"/>
      </patternFill>
    </fill>
    <fill>
      <patternFill patternType="solid">
        <fgColor rgb="FFC6E0B4"/>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rgb="FFFFFF99"/>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E0E5C2"/>
        <bgColor indexed="64"/>
      </patternFill>
    </fill>
    <fill>
      <patternFill patternType="solid">
        <fgColor rgb="FFFFD071"/>
        <bgColor indexed="64"/>
      </patternFill>
    </fill>
    <fill>
      <patternFill patternType="solid">
        <fgColor rgb="FFDDE4EF"/>
        <bgColor indexed="64"/>
      </patternFill>
    </fill>
    <fill>
      <patternFill patternType="solid">
        <fgColor rgb="FFEAEAEA"/>
        <bgColor indexed="64"/>
      </patternFill>
    </fill>
    <fill>
      <patternFill patternType="solid">
        <fgColor rgb="FFE3A99D"/>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2" tint="-0.499984740745262"/>
        <bgColor indexed="64"/>
      </patternFill>
    </fill>
    <fill>
      <patternFill patternType="solid">
        <fgColor rgb="FFDCE6F1"/>
        <bgColor indexed="64"/>
      </patternFill>
    </fill>
    <fill>
      <patternFill patternType="solid">
        <fgColor theme="8" tint="0.39994506668294322"/>
        <bgColor indexed="64"/>
      </patternFill>
    </fill>
    <fill>
      <patternFill patternType="solid">
        <fgColor rgb="FFE5DFEC"/>
        <bgColor indexed="64"/>
      </patternFill>
    </fill>
    <fill>
      <patternFill patternType="solid">
        <fgColor theme="8" tint="-0.499984740745262"/>
        <bgColor indexed="64"/>
      </patternFill>
    </fill>
    <fill>
      <patternFill patternType="solid">
        <fgColor rgb="FFEEEEEE"/>
        <bgColor indexed="64"/>
      </patternFill>
    </fill>
    <fill>
      <patternFill patternType="solid">
        <fgColor theme="8"/>
        <bgColor indexed="64"/>
      </patternFill>
    </fill>
    <fill>
      <patternFill patternType="solid">
        <fgColor theme="4" tint="0.59999389629810485"/>
        <bgColor indexed="64"/>
      </patternFill>
    </fill>
  </fills>
  <borders count="9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auto="1"/>
      </right>
      <top/>
      <bottom/>
      <diagonal/>
    </border>
    <border>
      <left style="thin">
        <color auto="1"/>
      </left>
      <right/>
      <top/>
      <bottom/>
      <diagonal/>
    </border>
    <border diagonalDown="1">
      <left/>
      <right/>
      <top/>
      <bottom/>
      <diagonal style="thin">
        <color auto="1"/>
      </diagonal>
    </border>
    <border>
      <left style="thin">
        <color auto="1"/>
      </left>
      <right style="thin">
        <color auto="1"/>
      </right>
      <top style="thin">
        <color auto="1"/>
      </top>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auto="1"/>
      </left>
      <right style="thin">
        <color auto="1"/>
      </right>
      <top/>
      <bottom style="thin">
        <color auto="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93743705557422"/>
      </left>
      <right/>
      <top style="thin">
        <color theme="0" tint="-0.14993743705557422"/>
      </top>
      <bottom style="thin">
        <color theme="0" tint="-0.14993743705557422"/>
      </bottom>
      <diagonal/>
    </border>
    <border>
      <left style="thin">
        <color indexed="64"/>
      </left>
      <right style="thin">
        <color indexed="64"/>
      </right>
      <top/>
      <bottom/>
      <diagonal/>
    </border>
    <border>
      <left/>
      <right style="thick">
        <color auto="1"/>
      </right>
      <top/>
      <bottom/>
      <diagonal/>
    </border>
    <border>
      <left/>
      <right/>
      <top style="thin">
        <color auto="1"/>
      </top>
      <bottom style="thin">
        <color theme="0" tint="-0.249977111117893"/>
      </bottom>
      <diagonal/>
    </border>
    <border>
      <left style="thin">
        <color theme="0" tint="-0.14993743705557422"/>
      </left>
      <right style="thin">
        <color theme="0" tint="-0.14993743705557422"/>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theme="0" tint="-0.249977111117893"/>
      </top>
      <bottom style="thin">
        <color indexed="64"/>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style="medium">
        <color indexed="64"/>
      </left>
      <right style="medium">
        <color indexed="64"/>
      </right>
      <top style="medium">
        <color indexed="64"/>
      </top>
      <bottom style="medium">
        <color indexed="64"/>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24994659260841701"/>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24994659260841701"/>
      </top>
      <bottom style="thin">
        <color theme="0" tint="-0.499984740745262"/>
      </bottom>
      <diagonal/>
    </border>
    <border>
      <left style="thin">
        <color theme="0" tint="-0.2499465926084170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24994659260841701"/>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style="thin">
        <color theme="0" tint="-0.499984740745262"/>
      </right>
      <top style="thin">
        <color theme="0" tint="-0.24994659260841701"/>
      </top>
      <bottom style="thin">
        <color theme="0" tint="-0.499984740745262"/>
      </bottom>
      <diagonal/>
    </border>
    <border>
      <left style="thin">
        <color theme="0" tint="-0.499984740745262"/>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style="dashed">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dashed">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style="dashed">
        <color theme="0" tint="-0.499984740745262"/>
      </left>
      <right style="thin">
        <color theme="0" tint="-0.499984740745262"/>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3">
    <xf numFmtId="0" fontId="0" fillId="0" borderId="0">
      <alignment vertical="center"/>
    </xf>
    <xf numFmtId="0" fontId="48" fillId="0" borderId="0">
      <alignment vertical="center"/>
    </xf>
    <xf numFmtId="0" fontId="50" fillId="0" borderId="0">
      <alignment vertical="center"/>
    </xf>
  </cellStyleXfs>
  <cellXfs count="1013">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2" borderId="0" xfId="0" applyFill="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7" fillId="2" borderId="0" xfId="0" applyFont="1" applyFill="1" applyAlignment="1">
      <alignment horizontal="center" wrapText="1"/>
    </xf>
    <xf numFmtId="0" fontId="3" fillId="2" borderId="0" xfId="0" applyFont="1" applyFill="1" applyAlignment="1">
      <alignment horizontal="center" vertical="center" wrapText="1"/>
    </xf>
    <xf numFmtId="1" fontId="3" fillId="2" borderId="0" xfId="0" applyNumberFormat="1" applyFont="1" applyFill="1" applyAlignment="1">
      <alignment horizontal="center" vertical="center" wrapText="1"/>
    </xf>
    <xf numFmtId="1" fontId="18" fillId="4" borderId="18" xfId="0" applyNumberFormat="1" applyFont="1" applyFill="1" applyBorder="1" applyAlignment="1">
      <alignment horizontal="center" vertical="center" wrapText="1"/>
    </xf>
    <xf numFmtId="1" fontId="2" fillId="4" borderId="19" xfId="0" applyNumberFormat="1" applyFont="1" applyFill="1" applyBorder="1" applyAlignment="1">
      <alignment horizontal="center" vertical="center" wrapText="1"/>
    </xf>
    <xf numFmtId="1" fontId="18" fillId="4" borderId="9" xfId="0" applyNumberFormat="1" applyFont="1" applyFill="1" applyBorder="1" applyAlignment="1">
      <alignment horizontal="center" vertical="center" wrapText="1"/>
    </xf>
    <xf numFmtId="1" fontId="2" fillId="4" borderId="20" xfId="0"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1" fillId="0" borderId="0" xfId="0" applyFont="1">
      <alignment vertical="center"/>
    </xf>
    <xf numFmtId="0" fontId="21" fillId="0" borderId="1" xfId="0" applyFont="1" applyBorder="1" applyAlignment="1">
      <alignment horizontal="center" vertical="center"/>
    </xf>
    <xf numFmtId="0" fontId="21" fillId="0" borderId="0" xfId="0" applyFont="1" applyAlignment="1">
      <alignment horizontal="center" vertical="center"/>
    </xf>
    <xf numFmtId="0" fontId="21" fillId="0" borderId="0" xfId="0" applyFont="1" applyAlignment="1">
      <alignment vertical="center" wrapText="1"/>
    </xf>
    <xf numFmtId="0" fontId="21" fillId="8" borderId="1" xfId="0" applyFont="1" applyFill="1" applyBorder="1" applyAlignment="1">
      <alignment horizontal="center" vertical="center"/>
    </xf>
    <xf numFmtId="0" fontId="21" fillId="11" borderId="1" xfId="0" applyFont="1" applyFill="1" applyBorder="1" applyAlignment="1">
      <alignment horizontal="center" vertical="center"/>
    </xf>
    <xf numFmtId="0" fontId="21" fillId="12" borderId="1" xfId="0" applyFont="1" applyFill="1"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1" fillId="0" borderId="1" xfId="0" applyFont="1" applyBorder="1">
      <alignment vertical="center"/>
    </xf>
    <xf numFmtId="0" fontId="21" fillId="0" borderId="6" xfId="0" applyFont="1" applyBorder="1">
      <alignment vertical="center"/>
    </xf>
    <xf numFmtId="0" fontId="21" fillId="0" borderId="3" xfId="0" applyFont="1" applyBorder="1">
      <alignment vertical="center"/>
    </xf>
    <xf numFmtId="0" fontId="28" fillId="0" borderId="17" xfId="0" applyFont="1" applyBorder="1" applyAlignment="1">
      <alignment horizontal="justify" vertical="top" wrapText="1"/>
    </xf>
    <xf numFmtId="0" fontId="21" fillId="0" borderId="1" xfId="0" applyFont="1" applyBorder="1" applyAlignment="1">
      <alignment horizontal="center" vertical="center" wrapText="1"/>
    </xf>
    <xf numFmtId="0" fontId="21" fillId="0" borderId="1" xfId="0" applyFont="1" applyBorder="1" applyAlignment="1">
      <alignment horizontal="justify" vertical="top" wrapText="1"/>
    </xf>
    <xf numFmtId="0" fontId="10" fillId="0" borderId="0" xfId="0" applyFont="1" applyAlignment="1">
      <alignment horizontal="center" vertical="center"/>
    </xf>
    <xf numFmtId="0" fontId="21" fillId="0" borderId="1" xfId="0" applyFont="1" applyBorder="1" applyAlignment="1">
      <alignment horizontal="right" vertical="center"/>
    </xf>
    <xf numFmtId="0" fontId="21" fillId="0" borderId="6" xfId="0" applyFont="1" applyBorder="1" applyAlignment="1">
      <alignment horizontal="center" vertical="center"/>
    </xf>
    <xf numFmtId="0" fontId="21" fillId="7" borderId="1" xfId="0" applyFont="1" applyFill="1" applyBorder="1" applyAlignment="1">
      <alignment horizontal="center" vertical="center" wrapText="1"/>
    </xf>
    <xf numFmtId="0" fontId="21" fillId="7" borderId="1" xfId="0" applyFont="1" applyFill="1" applyBorder="1" applyAlignment="1">
      <alignment horizontal="justify" vertical="top" wrapText="1"/>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1" fillId="2" borderId="0" xfId="0" applyFont="1" applyFill="1" applyAlignment="1">
      <alignment vertical="center" wrapText="1"/>
    </xf>
    <xf numFmtId="0" fontId="32" fillId="2" borderId="0" xfId="0" applyFont="1" applyFill="1" applyAlignment="1" applyProtection="1">
      <alignment horizontal="center" vertical="center" wrapText="1"/>
      <protection locked="0"/>
    </xf>
    <xf numFmtId="0" fontId="38"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top" wrapText="1"/>
    </xf>
    <xf numFmtId="0" fontId="42" fillId="2" borderId="0" xfId="0" applyFont="1" applyFill="1" applyAlignment="1">
      <alignment horizontal="center" vertical="center" wrapText="1"/>
    </xf>
    <xf numFmtId="0" fontId="2" fillId="2" borderId="0" xfId="0" applyFont="1" applyFill="1" applyAlignment="1">
      <alignment vertical="center" wrapText="1"/>
    </xf>
    <xf numFmtId="0" fontId="1" fillId="0" borderId="0" xfId="0" quotePrefix="1" applyFont="1" applyAlignment="1">
      <alignment horizontal="center" vertical="center" wrapText="1"/>
    </xf>
    <xf numFmtId="0" fontId="35" fillId="2" borderId="0" xfId="0" applyFont="1" applyFill="1" applyAlignment="1">
      <alignment vertical="center" wrapText="1"/>
    </xf>
    <xf numFmtId="0" fontId="0" fillId="0" borderId="1" xfId="0" applyBorder="1">
      <alignment vertical="center"/>
    </xf>
    <xf numFmtId="0" fontId="0" fillId="0" borderId="1" xfId="0" applyBorder="1" applyAlignment="1">
      <alignment horizontal="fill" vertical="center"/>
    </xf>
    <xf numFmtId="0" fontId="50" fillId="0" borderId="1" xfId="0" applyFont="1" applyBorder="1">
      <alignment vertical="center"/>
    </xf>
    <xf numFmtId="0" fontId="50" fillId="0" borderId="1" xfId="0" applyFont="1" applyBorder="1" applyAlignment="1">
      <alignment horizontal="fill" vertical="center"/>
    </xf>
    <xf numFmtId="0" fontId="0" fillId="0" borderId="1" xfId="0" applyBorder="1" applyAlignment="1">
      <alignment horizontal="fill" vertical="center" wrapText="1"/>
    </xf>
    <xf numFmtId="0" fontId="50" fillId="0" borderId="1" xfId="0" applyFont="1" applyBorder="1" applyAlignment="1">
      <alignment horizontal="fill" vertical="center" wrapText="1"/>
    </xf>
    <xf numFmtId="0" fontId="50" fillId="0" borderId="0" xfId="0" applyFont="1">
      <alignment vertical="center"/>
    </xf>
    <xf numFmtId="0" fontId="53" fillId="0" borderId="0" xfId="0" applyFont="1">
      <alignment vertical="center"/>
    </xf>
    <xf numFmtId="0" fontId="0" fillId="0" borderId="0" xfId="0" applyAlignment="1">
      <alignment horizontal="fill" vertical="center"/>
    </xf>
    <xf numFmtId="0" fontId="0" fillId="0" borderId="0" xfId="0" applyAlignment="1">
      <alignment horizontal="fill" vertical="center" wrapText="1"/>
    </xf>
    <xf numFmtId="0" fontId="50" fillId="0" borderId="0" xfId="0" applyFont="1" applyAlignment="1">
      <alignment horizontal="fill" vertical="center" wrapText="1"/>
    </xf>
    <xf numFmtId="0" fontId="50" fillId="0" borderId="0" xfId="0" applyFont="1" applyAlignment="1">
      <alignment vertical="center" wrapText="1"/>
    </xf>
    <xf numFmtId="0" fontId="50" fillId="0" borderId="0" xfId="0" applyFont="1" applyAlignment="1">
      <alignment horizontal="fill"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justify" vertical="top" wrapText="1"/>
    </xf>
    <xf numFmtId="0" fontId="0" fillId="0" borderId="0" xfId="0" applyAlignment="1">
      <alignment vertical="center" wrapText="1"/>
    </xf>
    <xf numFmtId="0" fontId="32" fillId="2" borderId="0" xfId="0" applyFont="1" applyFill="1" applyAlignment="1">
      <alignment horizontal="center" vertical="center" wrapText="1"/>
    </xf>
    <xf numFmtId="0" fontId="51" fillId="0" borderId="28" xfId="0" applyFont="1" applyBorder="1" applyAlignment="1">
      <alignment horizontal="left" vertical="center"/>
    </xf>
    <xf numFmtId="0" fontId="51" fillId="0" borderId="0" xfId="0" applyFont="1" applyAlignment="1">
      <alignment horizontal="center" vertical="center"/>
    </xf>
    <xf numFmtId="0" fontId="51" fillId="0" borderId="0" xfId="0" applyFont="1" applyAlignment="1">
      <alignment horizontal="center" vertical="center" wrapText="1"/>
    </xf>
    <xf numFmtId="0" fontId="51" fillId="0" borderId="0" xfId="0" applyFont="1">
      <alignment vertical="center"/>
    </xf>
    <xf numFmtId="0" fontId="51" fillId="0" borderId="0" xfId="0" applyFont="1" applyAlignment="1">
      <alignment vertical="center" wrapText="1"/>
    </xf>
    <xf numFmtId="0" fontId="1" fillId="4" borderId="13" xfId="0" applyFont="1" applyFill="1" applyBorder="1" applyAlignment="1" applyProtection="1">
      <alignment horizontal="center" vertical="center"/>
      <protection locked="0"/>
    </xf>
    <xf numFmtId="0" fontId="1" fillId="7" borderId="13" xfId="0" applyFont="1" applyFill="1" applyBorder="1" applyAlignment="1" applyProtection="1">
      <alignment horizontal="center" vertical="center"/>
      <protection locked="0"/>
    </xf>
    <xf numFmtId="0" fontId="48" fillId="0" borderId="29" xfId="1" applyBorder="1" applyAlignment="1">
      <alignment horizontal="left" vertical="center" wrapText="1"/>
    </xf>
    <xf numFmtId="0" fontId="48" fillId="0" borderId="0" xfId="1" applyAlignment="1">
      <alignment horizontal="center" vertical="center" wrapText="1"/>
    </xf>
    <xf numFmtId="0" fontId="48" fillId="0" borderId="31" xfId="1" applyBorder="1" applyAlignment="1">
      <alignment horizontal="center" vertical="center" wrapText="1"/>
    </xf>
    <xf numFmtId="0" fontId="48" fillId="0" borderId="32" xfId="1" applyBorder="1" applyAlignment="1">
      <alignment horizontal="center" vertical="center" wrapText="1"/>
    </xf>
    <xf numFmtId="0" fontId="48" fillId="0" borderId="0" xfId="1" applyAlignment="1">
      <alignment horizontal="left" vertical="center" wrapText="1"/>
    </xf>
    <xf numFmtId="0" fontId="48" fillId="0" borderId="32" xfId="1" applyBorder="1" applyAlignment="1">
      <alignment horizontal="left"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48" fillId="21" borderId="0" xfId="1" applyFill="1" applyAlignment="1">
      <alignment horizontal="center" vertical="center" wrapText="1"/>
    </xf>
    <xf numFmtId="0" fontId="62" fillId="0" borderId="0" xfId="1" applyFont="1" applyAlignment="1">
      <alignment horizontal="center" vertical="center" wrapText="1"/>
    </xf>
    <xf numFmtId="0" fontId="48" fillId="34" borderId="31" xfId="1" applyFill="1" applyBorder="1" applyAlignment="1">
      <alignment horizontal="center" vertical="center" wrapText="1"/>
    </xf>
    <xf numFmtId="0" fontId="48" fillId="35" borderId="31" xfId="1" applyFill="1" applyBorder="1" applyAlignment="1">
      <alignment horizontal="center" vertical="center" wrapText="1"/>
    </xf>
    <xf numFmtId="0" fontId="48" fillId="29" borderId="31" xfId="1" applyFill="1" applyBorder="1" applyAlignment="1">
      <alignment horizontal="center" vertical="center" wrapText="1"/>
    </xf>
    <xf numFmtId="0" fontId="61" fillId="0" borderId="0" xfId="1" applyFont="1" applyAlignment="1">
      <alignment horizontal="center" vertical="center" wrapText="1"/>
    </xf>
    <xf numFmtId="0" fontId="64" fillId="0" borderId="0" xfId="1" applyFont="1" applyAlignment="1">
      <alignment horizontal="center" vertical="center" wrapText="1"/>
    </xf>
    <xf numFmtId="0" fontId="48" fillId="25" borderId="31" xfId="1" applyFill="1" applyBorder="1" applyAlignment="1">
      <alignment horizontal="center" vertical="center" wrapText="1"/>
    </xf>
    <xf numFmtId="0" fontId="48" fillId="36" borderId="31" xfId="1" applyFill="1" applyBorder="1" applyAlignment="1">
      <alignment horizontal="center" vertical="center" wrapText="1"/>
    </xf>
    <xf numFmtId="0" fontId="48" fillId="37" borderId="31" xfId="1" applyFill="1" applyBorder="1" applyAlignment="1">
      <alignment horizontal="center" vertical="center" wrapText="1"/>
    </xf>
    <xf numFmtId="0" fontId="48" fillId="38" borderId="31" xfId="1" applyFill="1" applyBorder="1" applyAlignment="1">
      <alignment horizontal="center" vertical="center" wrapText="1"/>
    </xf>
    <xf numFmtId="0" fontId="0" fillId="0" borderId="34" xfId="0" applyBorder="1" applyAlignment="1">
      <alignment horizontal="center" vertical="center" wrapText="1"/>
    </xf>
    <xf numFmtId="0" fontId="48" fillId="0" borderId="34" xfId="1" applyBorder="1" applyAlignment="1">
      <alignment horizontal="center" vertical="center" wrapText="1"/>
    </xf>
    <xf numFmtId="0" fontId="48" fillId="5" borderId="0" xfId="1" applyFill="1" applyAlignment="1">
      <alignment horizontal="center" vertical="center" wrapText="1"/>
    </xf>
    <xf numFmtId="0" fontId="48" fillId="41" borderId="0" xfId="1" applyFill="1" applyAlignment="1">
      <alignment horizontal="center" vertical="center" wrapText="1"/>
    </xf>
    <xf numFmtId="0" fontId="48" fillId="42" borderId="0" xfId="1" applyFill="1" applyAlignment="1">
      <alignment horizontal="center" vertical="center" wrapText="1"/>
    </xf>
    <xf numFmtId="0" fontId="48" fillId="43" borderId="0" xfId="1" applyFill="1" applyAlignment="1">
      <alignment horizontal="center" vertical="center" wrapText="1"/>
    </xf>
    <xf numFmtId="0" fontId="48" fillId="44" borderId="0" xfId="1" applyFill="1" applyAlignment="1">
      <alignment horizontal="center" vertical="center" wrapText="1"/>
    </xf>
    <xf numFmtId="0" fontId="48" fillId="45" borderId="0" xfId="1" applyFill="1" applyAlignment="1">
      <alignment horizontal="center" vertical="center" wrapText="1"/>
    </xf>
    <xf numFmtId="0" fontId="63" fillId="5" borderId="0" xfId="0" applyFont="1" applyFill="1" applyAlignment="1">
      <alignment horizontal="center" vertical="center" wrapText="1"/>
    </xf>
    <xf numFmtId="0" fontId="62" fillId="5" borderId="0" xfId="1" applyFont="1" applyFill="1" applyAlignment="1">
      <alignment horizontal="center" vertical="center" wrapText="1"/>
    </xf>
    <xf numFmtId="0" fontId="63" fillId="41" borderId="0" xfId="0" applyFont="1" applyFill="1" applyAlignment="1">
      <alignment horizontal="center" vertical="center" wrapText="1"/>
    </xf>
    <xf numFmtId="0" fontId="63" fillId="42" borderId="0" xfId="0" applyFont="1" applyFill="1" applyAlignment="1">
      <alignment horizontal="center" vertical="center" wrapText="1"/>
    </xf>
    <xf numFmtId="0" fontId="63" fillId="43" borderId="0" xfId="0" applyFont="1" applyFill="1" applyAlignment="1">
      <alignment horizontal="center" vertical="center" wrapText="1"/>
    </xf>
    <xf numFmtId="0" fontId="48" fillId="0" borderId="33" xfId="1" applyBorder="1" applyAlignment="1">
      <alignment horizontal="center" vertical="center" wrapText="1"/>
    </xf>
    <xf numFmtId="0" fontId="0" fillId="0" borderId="39" xfId="0" applyBorder="1" applyAlignment="1">
      <alignment horizontal="center" vertical="center" wrapText="1"/>
    </xf>
    <xf numFmtId="0" fontId="0" fillId="0" borderId="29" xfId="0" applyBorder="1" applyAlignment="1">
      <alignment horizontal="center" vertical="center" wrapText="1"/>
    </xf>
    <xf numFmtId="0" fontId="48" fillId="0" borderId="29" xfId="1" applyBorder="1" applyAlignment="1">
      <alignment horizontal="center" vertical="center" wrapText="1"/>
    </xf>
    <xf numFmtId="0" fontId="48" fillId="5" borderId="29" xfId="1" applyFill="1" applyBorder="1" applyAlignment="1">
      <alignment horizontal="center" vertical="center" wrapText="1"/>
    </xf>
    <xf numFmtId="0" fontId="48" fillId="34" borderId="29" xfId="1" applyFill="1" applyBorder="1" applyAlignment="1">
      <alignment horizontal="center" vertical="center" wrapText="1"/>
    </xf>
    <xf numFmtId="0" fontId="48" fillId="35" borderId="29" xfId="1" applyFill="1" applyBorder="1" applyAlignment="1">
      <alignment horizontal="center" vertical="center" wrapText="1"/>
    </xf>
    <xf numFmtId="0" fontId="48" fillId="29" borderId="29" xfId="1" applyFill="1" applyBorder="1" applyAlignment="1">
      <alignment horizontal="center" vertical="center" wrapText="1"/>
    </xf>
    <xf numFmtId="0" fontId="48" fillId="25" borderId="29" xfId="1" applyFill="1" applyBorder="1" applyAlignment="1">
      <alignment horizontal="center" vertical="center" wrapText="1"/>
    </xf>
    <xf numFmtId="0" fontId="48" fillId="36" borderId="29" xfId="1" applyFill="1" applyBorder="1" applyAlignment="1">
      <alignment horizontal="center" vertical="center" wrapText="1"/>
    </xf>
    <xf numFmtId="0" fontId="48" fillId="37" borderId="29" xfId="1" applyFill="1" applyBorder="1" applyAlignment="1">
      <alignment horizontal="center" vertical="center" wrapText="1"/>
    </xf>
    <xf numFmtId="0" fontId="48" fillId="38" borderId="29" xfId="1" applyFill="1" applyBorder="1" applyAlignment="1">
      <alignment horizontal="center" vertical="center" wrapText="1"/>
    </xf>
    <xf numFmtId="0" fontId="0" fillId="26" borderId="29" xfId="0" applyFill="1" applyBorder="1" applyAlignment="1">
      <alignment horizontal="center" vertical="center" wrapText="1"/>
    </xf>
    <xf numFmtId="0" fontId="0" fillId="41" borderId="29" xfId="0" applyFill="1" applyBorder="1" applyAlignment="1">
      <alignment horizontal="center" vertical="center" wrapText="1"/>
    </xf>
    <xf numFmtId="0" fontId="0" fillId="39" borderId="29" xfId="0" applyFill="1" applyBorder="1" applyAlignment="1">
      <alignment horizontal="center" vertical="center" wrapText="1"/>
    </xf>
    <xf numFmtId="0" fontId="0" fillId="46" borderId="29" xfId="0" applyFill="1" applyBorder="1" applyAlignment="1">
      <alignment horizontal="center" vertical="center" wrapText="1"/>
    </xf>
    <xf numFmtId="0" fontId="48" fillId="0" borderId="30" xfId="1" applyBorder="1" applyAlignment="1">
      <alignment horizontal="center" vertical="center" wrapText="1"/>
    </xf>
    <xf numFmtId="0" fontId="0" fillId="0" borderId="40" xfId="0" applyBorder="1" applyAlignment="1">
      <alignment horizontal="center" vertical="center" wrapText="1"/>
    </xf>
    <xf numFmtId="0" fontId="0" fillId="0" borderId="30" xfId="0" applyBorder="1" applyAlignment="1">
      <alignment horizontal="center" vertical="center" wrapText="1"/>
    </xf>
    <xf numFmtId="0" fontId="48" fillId="0" borderId="39" xfId="1" applyBorder="1" applyAlignment="1">
      <alignment horizontal="center" vertical="center" wrapText="1"/>
    </xf>
    <xf numFmtId="0" fontId="48" fillId="35" borderId="0" xfId="1" applyFill="1" applyAlignment="1">
      <alignment horizontal="center" vertical="center" wrapText="1"/>
    </xf>
    <xf numFmtId="0" fontId="48" fillId="25" borderId="0" xfId="1" applyFill="1" applyAlignment="1">
      <alignment horizontal="center" vertical="center" wrapText="1"/>
    </xf>
    <xf numFmtId="0" fontId="0" fillId="0" borderId="41" xfId="0" applyBorder="1" applyAlignment="1">
      <alignment horizontal="center" vertical="center" wrapText="1"/>
    </xf>
    <xf numFmtId="0" fontId="59" fillId="0" borderId="31" xfId="1" applyFont="1" applyBorder="1" applyAlignment="1">
      <alignment horizontal="center" vertical="center" wrapText="1"/>
    </xf>
    <xf numFmtId="0" fontId="60" fillId="0" borderId="0" xfId="1" applyFont="1" applyAlignment="1">
      <alignment horizontal="center" vertical="center" wrapText="1"/>
    </xf>
    <xf numFmtId="0" fontId="48" fillId="36" borderId="0" xfId="1" applyFill="1" applyAlignment="1">
      <alignment horizontal="center" vertical="center" wrapText="1"/>
    </xf>
    <xf numFmtId="0" fontId="50" fillId="46" borderId="0" xfId="0" applyFont="1" applyFill="1" applyAlignment="1">
      <alignment horizontal="center" vertical="center" wrapText="1"/>
    </xf>
    <xf numFmtId="0" fontId="0" fillId="0" borderId="31" xfId="0" applyBorder="1" applyAlignment="1">
      <alignment horizontal="center" vertical="center" wrapText="1"/>
    </xf>
    <xf numFmtId="0" fontId="48" fillId="26" borderId="0" xfId="1" applyFill="1" applyAlignment="1">
      <alignment horizontal="center" vertical="center" wrapText="1"/>
    </xf>
    <xf numFmtId="0" fontId="48" fillId="5" borderId="31" xfId="1" applyFill="1" applyBorder="1" applyAlignment="1">
      <alignment horizontal="center" vertical="center" wrapText="1"/>
    </xf>
    <xf numFmtId="58" fontId="48" fillId="0" borderId="32" xfId="1" applyNumberFormat="1" applyBorder="1" applyAlignment="1">
      <alignment horizontal="center" vertical="center" wrapText="1"/>
    </xf>
    <xf numFmtId="0" fontId="0" fillId="0" borderId="33" xfId="0" applyBorder="1" applyAlignment="1">
      <alignment horizontal="center" vertical="center" wrapText="1"/>
    </xf>
    <xf numFmtId="0" fontId="0" fillId="0" borderId="35" xfId="0" applyBorder="1" applyAlignment="1">
      <alignment horizontal="center" vertical="center" wrapText="1"/>
    </xf>
    <xf numFmtId="0" fontId="0" fillId="40" borderId="31" xfId="0" applyFill="1" applyBorder="1" applyAlignment="1">
      <alignment horizontal="center" vertical="center" wrapText="1"/>
    </xf>
    <xf numFmtId="0" fontId="48" fillId="26" borderId="31" xfId="1" applyFill="1" applyBorder="1" applyAlignment="1">
      <alignment horizontal="center" vertical="center" wrapText="1"/>
    </xf>
    <xf numFmtId="0" fontId="50" fillId="41" borderId="31" xfId="0" applyFont="1" applyFill="1" applyBorder="1" applyAlignment="1">
      <alignment horizontal="center" vertical="center" wrapText="1"/>
    </xf>
    <xf numFmtId="0" fontId="50" fillId="39" borderId="31" xfId="0" applyFont="1" applyFill="1" applyBorder="1" applyAlignment="1">
      <alignment horizontal="center" vertical="center" wrapText="1"/>
    </xf>
    <xf numFmtId="0" fontId="50" fillId="46" borderId="31" xfId="0" applyFont="1" applyFill="1" applyBorder="1" applyAlignment="1">
      <alignment horizontal="center" vertical="center" wrapText="1"/>
    </xf>
    <xf numFmtId="0" fontId="0" fillId="0" borderId="42" xfId="0" applyBorder="1" applyAlignment="1">
      <alignment horizontal="center" vertical="center" wrapText="1"/>
    </xf>
    <xf numFmtId="0" fontId="60" fillId="34" borderId="0" xfId="1" applyFont="1" applyFill="1" applyAlignment="1">
      <alignment horizontal="center" vertical="center" wrapText="1"/>
    </xf>
    <xf numFmtId="0" fontId="60" fillId="35" borderId="0" xfId="1" applyFont="1" applyFill="1" applyAlignment="1">
      <alignment horizontal="center" vertical="center" wrapText="1"/>
    </xf>
    <xf numFmtId="0" fontId="60" fillId="29" borderId="0" xfId="1" applyFont="1" applyFill="1" applyAlignment="1">
      <alignment horizontal="center" vertical="center" wrapText="1"/>
    </xf>
    <xf numFmtId="0" fontId="60" fillId="25" borderId="0" xfId="1" applyFont="1" applyFill="1" applyAlignment="1">
      <alignment horizontal="center" vertical="center" wrapText="1"/>
    </xf>
    <xf numFmtId="0" fontId="60" fillId="36" borderId="0" xfId="1" applyFont="1" applyFill="1" applyAlignment="1">
      <alignment horizontal="center" vertical="center" wrapText="1"/>
    </xf>
    <xf numFmtId="0" fontId="48" fillId="41" borderId="31" xfId="1" applyFill="1" applyBorder="1" applyAlignment="1">
      <alignment horizontal="center" vertical="center" wrapText="1"/>
    </xf>
    <xf numFmtId="0" fontId="48" fillId="39" borderId="31" xfId="1" applyFill="1" applyBorder="1" applyAlignment="1">
      <alignment horizontal="center" vertical="center" wrapText="1"/>
    </xf>
    <xf numFmtId="0" fontId="60" fillId="37" borderId="0" xfId="1" applyFont="1" applyFill="1" applyAlignment="1">
      <alignment horizontal="center" vertical="center" wrapText="1"/>
    </xf>
    <xf numFmtId="0" fontId="48" fillId="46" borderId="31" xfId="1" applyFill="1" applyBorder="1" applyAlignment="1">
      <alignment horizontal="center" vertical="center" wrapText="1"/>
    </xf>
    <xf numFmtId="0" fontId="60" fillId="38" borderId="0" xfId="1" applyFont="1" applyFill="1" applyAlignment="1">
      <alignment horizontal="center" vertical="center" wrapText="1"/>
    </xf>
    <xf numFmtId="0" fontId="60" fillId="41" borderId="0" xfId="1" applyFont="1" applyFill="1" applyAlignment="1">
      <alignment horizontal="center" vertical="center" wrapText="1"/>
    </xf>
    <xf numFmtId="0" fontId="55" fillId="39" borderId="0" xfId="0" applyFont="1" applyFill="1" applyAlignment="1">
      <alignment horizontal="center" vertical="center" wrapText="1"/>
    </xf>
    <xf numFmtId="0" fontId="60" fillId="39" borderId="0" xfId="1" applyFont="1" applyFill="1" applyAlignment="1">
      <alignment horizontal="center" vertical="center" wrapText="1"/>
    </xf>
    <xf numFmtId="0" fontId="60" fillId="46" borderId="0" xfId="1" applyFont="1" applyFill="1" applyAlignment="1">
      <alignment horizontal="center" vertical="center" wrapText="1"/>
    </xf>
    <xf numFmtId="0" fontId="55" fillId="46" borderId="0" xfId="0" applyFont="1" applyFill="1" applyAlignment="1">
      <alignment horizontal="center" vertical="center" wrapText="1"/>
    </xf>
    <xf numFmtId="0" fontId="60" fillId="0" borderId="32" xfId="1" applyFont="1" applyBorder="1" applyAlignment="1">
      <alignment horizontal="center" vertical="center" wrapText="1"/>
    </xf>
    <xf numFmtId="0" fontId="60" fillId="0" borderId="34" xfId="1" applyFont="1" applyBorder="1" applyAlignment="1">
      <alignment horizontal="center" vertical="center" wrapText="1"/>
    </xf>
    <xf numFmtId="0" fontId="60" fillId="0" borderId="35" xfId="1" applyFont="1" applyBorder="1" applyAlignment="1">
      <alignment horizontal="center" vertical="center" wrapText="1"/>
    </xf>
    <xf numFmtId="0" fontId="48" fillId="0" borderId="34" xfId="1" applyBorder="1" applyAlignment="1">
      <alignment horizontal="left" vertical="center" wrapText="1"/>
    </xf>
    <xf numFmtId="0" fontId="48" fillId="0" borderId="35" xfId="1" applyBorder="1" applyAlignment="1">
      <alignment horizontal="left" vertical="center" wrapText="1"/>
    </xf>
    <xf numFmtId="0" fontId="0" fillId="2" borderId="29" xfId="0" applyFill="1" applyBorder="1" applyAlignment="1">
      <alignment horizontal="center" vertical="center" wrapText="1"/>
    </xf>
    <xf numFmtId="58" fontId="48" fillId="0" borderId="0" xfId="1" applyNumberFormat="1" applyAlignment="1">
      <alignment horizontal="center" vertical="center" wrapText="1"/>
    </xf>
    <xf numFmtId="0" fontId="48" fillId="0" borderId="35" xfId="1" applyBorder="1" applyAlignment="1">
      <alignment horizontal="center" vertical="center" wrapText="1"/>
    </xf>
    <xf numFmtId="0" fontId="48" fillId="46" borderId="0" xfId="1" applyFill="1" applyAlignment="1">
      <alignment horizontal="center" vertical="center" wrapText="1"/>
    </xf>
    <xf numFmtId="0" fontId="0" fillId="46" borderId="0" xfId="0" applyFill="1" applyAlignment="1">
      <alignment horizontal="center" vertical="center" wrapText="1"/>
    </xf>
    <xf numFmtId="0" fontId="50" fillId="0" borderId="0" xfId="0" applyFont="1" applyAlignment="1">
      <alignment horizontal="center" vertical="center" wrapText="1"/>
    </xf>
    <xf numFmtId="0" fontId="1" fillId="7" borderId="13"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51" fillId="0" borderId="0" xfId="0" applyFont="1" applyAlignment="1">
      <alignment horizontal="left" vertical="top" wrapText="1"/>
    </xf>
    <xf numFmtId="0" fontId="1" fillId="4" borderId="44" xfId="0" applyFont="1" applyFill="1" applyBorder="1" applyAlignment="1" applyProtection="1">
      <alignment horizontal="center" vertical="center" wrapText="1"/>
      <protection locked="0"/>
    </xf>
    <xf numFmtId="0" fontId="1" fillId="7" borderId="44" xfId="0" applyFont="1" applyFill="1" applyBorder="1" applyAlignment="1" applyProtection="1">
      <alignment horizontal="center" vertical="center" wrapText="1"/>
      <protection locked="0"/>
    </xf>
    <xf numFmtId="0" fontId="51" fillId="0" borderId="22" xfId="0" applyFont="1" applyBorder="1" applyAlignment="1">
      <alignment horizontal="left" vertical="center"/>
    </xf>
    <xf numFmtId="0" fontId="51" fillId="0" borderId="22" xfId="0" applyFont="1" applyBorder="1" applyAlignment="1">
      <alignment horizontal="left" vertical="center" wrapText="1"/>
    </xf>
    <xf numFmtId="0" fontId="51" fillId="0" borderId="24" xfId="0" applyFont="1" applyBorder="1" applyAlignment="1">
      <alignment horizontal="left" vertical="center"/>
    </xf>
    <xf numFmtId="0" fontId="51" fillId="0" borderId="23" xfId="0" applyFont="1" applyBorder="1" applyAlignment="1">
      <alignment horizontal="left" vertical="center" wrapText="1"/>
    </xf>
    <xf numFmtId="0" fontId="51" fillId="0" borderId="22" xfId="0" applyFont="1" applyBorder="1" applyAlignment="1">
      <alignment vertical="center" wrapText="1"/>
    </xf>
    <xf numFmtId="0" fontId="51" fillId="11" borderId="22" xfId="0" applyFont="1" applyFill="1" applyBorder="1" applyAlignment="1">
      <alignment horizontal="left" vertical="center"/>
    </xf>
    <xf numFmtId="0" fontId="51" fillId="11" borderId="22" xfId="0" applyFont="1" applyFill="1" applyBorder="1" applyAlignment="1">
      <alignment horizontal="left" vertical="center" wrapText="1"/>
    </xf>
    <xf numFmtId="0" fontId="51" fillId="11" borderId="24" xfId="0" applyFont="1" applyFill="1" applyBorder="1" applyAlignment="1">
      <alignment horizontal="left" vertical="center"/>
    </xf>
    <xf numFmtId="0" fontId="51" fillId="11" borderId="14" xfId="0" applyFont="1" applyFill="1" applyBorder="1" applyAlignment="1">
      <alignment horizontal="left" vertical="top" wrapText="1"/>
    </xf>
    <xf numFmtId="0" fontId="51" fillId="19" borderId="22" xfId="0" applyFont="1" applyFill="1" applyBorder="1" applyAlignment="1">
      <alignment horizontal="left" vertical="center"/>
    </xf>
    <xf numFmtId="0" fontId="51" fillId="19" borderId="22" xfId="0" applyFont="1" applyFill="1" applyBorder="1" applyAlignment="1">
      <alignment horizontal="left" vertical="center" wrapText="1"/>
    </xf>
    <xf numFmtId="0" fontId="51" fillId="19" borderId="24" xfId="0" applyFont="1" applyFill="1" applyBorder="1" applyAlignment="1">
      <alignment horizontal="left" vertical="center"/>
    </xf>
    <xf numFmtId="0" fontId="51" fillId="19" borderId="14" xfId="0" applyFont="1" applyFill="1" applyBorder="1" applyAlignment="1">
      <alignment horizontal="left" vertical="top" wrapText="1"/>
    </xf>
    <xf numFmtId="0" fontId="51" fillId="20" borderId="22" xfId="0" applyFont="1" applyFill="1" applyBorder="1" applyAlignment="1">
      <alignment horizontal="left" vertical="center"/>
    </xf>
    <xf numFmtId="0" fontId="51" fillId="20" borderId="22" xfId="0" applyFont="1" applyFill="1" applyBorder="1" applyAlignment="1">
      <alignment horizontal="left" vertical="center" wrapText="1"/>
    </xf>
    <xf numFmtId="0" fontId="51" fillId="20" borderId="24" xfId="0" applyFont="1" applyFill="1" applyBorder="1" applyAlignment="1">
      <alignment horizontal="left" vertical="center"/>
    </xf>
    <xf numFmtId="0" fontId="51" fillId="20" borderId="14" xfId="0" applyFont="1" applyFill="1" applyBorder="1" applyAlignment="1">
      <alignment horizontal="left" vertical="top" wrapText="1"/>
    </xf>
    <xf numFmtId="0" fontId="51" fillId="21" borderId="22" xfId="0" applyFont="1" applyFill="1" applyBorder="1" applyAlignment="1">
      <alignment horizontal="left" vertical="center"/>
    </xf>
    <xf numFmtId="0" fontId="51" fillId="21" borderId="22" xfId="0" applyFont="1" applyFill="1" applyBorder="1" applyAlignment="1">
      <alignment horizontal="left" vertical="center" wrapText="1"/>
    </xf>
    <xf numFmtId="0" fontId="51" fillId="21" borderId="24" xfId="0" applyFont="1" applyFill="1" applyBorder="1" applyAlignment="1">
      <alignment horizontal="left" vertical="center"/>
    </xf>
    <xf numFmtId="0" fontId="51" fillId="21" borderId="14" xfId="0" applyFont="1" applyFill="1" applyBorder="1" applyAlignment="1">
      <alignment horizontal="left" vertical="top" wrapText="1"/>
    </xf>
    <xf numFmtId="0" fontId="51" fillId="17" borderId="22" xfId="0" applyFont="1" applyFill="1" applyBorder="1" applyAlignment="1">
      <alignment horizontal="left" vertical="center"/>
    </xf>
    <xf numFmtId="0" fontId="51" fillId="17" borderId="22" xfId="0" applyFont="1" applyFill="1" applyBorder="1" applyAlignment="1">
      <alignment horizontal="left" vertical="center" wrapText="1"/>
    </xf>
    <xf numFmtId="0" fontId="51" fillId="17" borderId="24" xfId="0" applyFont="1" applyFill="1" applyBorder="1" applyAlignment="1">
      <alignment horizontal="left" vertical="center"/>
    </xf>
    <xf numFmtId="0" fontId="51" fillId="17" borderId="14" xfId="0" applyFont="1" applyFill="1" applyBorder="1" applyAlignment="1">
      <alignment horizontal="left" vertical="top" wrapText="1"/>
    </xf>
    <xf numFmtId="0" fontId="51" fillId="22" borderId="22" xfId="0" applyFont="1" applyFill="1" applyBorder="1" applyAlignment="1">
      <alignment horizontal="left" vertical="center"/>
    </xf>
    <xf numFmtId="0" fontId="51" fillId="22" borderId="22" xfId="0" applyFont="1" applyFill="1" applyBorder="1" applyAlignment="1">
      <alignment horizontal="left" vertical="center" wrapText="1"/>
    </xf>
    <xf numFmtId="0" fontId="51" fillId="22" borderId="24" xfId="0" applyFont="1" applyFill="1" applyBorder="1" applyAlignment="1">
      <alignment horizontal="left" vertical="center"/>
    </xf>
    <xf numFmtId="0" fontId="51" fillId="22" borderId="14" xfId="0" applyFont="1" applyFill="1" applyBorder="1" applyAlignment="1">
      <alignment horizontal="left" vertical="top" wrapText="1"/>
    </xf>
    <xf numFmtId="0" fontId="51" fillId="23" borderId="22" xfId="0" applyFont="1" applyFill="1" applyBorder="1" applyAlignment="1">
      <alignment horizontal="left" vertical="center"/>
    </xf>
    <xf numFmtId="0" fontId="51" fillId="23" borderId="22" xfId="0" applyFont="1" applyFill="1" applyBorder="1" applyAlignment="1">
      <alignment horizontal="left" vertical="center" wrapText="1"/>
    </xf>
    <xf numFmtId="0" fontId="51" fillId="23" borderId="24" xfId="0" applyFont="1" applyFill="1" applyBorder="1" applyAlignment="1">
      <alignment horizontal="left" vertical="center"/>
    </xf>
    <xf numFmtId="0" fontId="51" fillId="23" borderId="14" xfId="0" applyFont="1" applyFill="1" applyBorder="1" applyAlignment="1">
      <alignment horizontal="left" vertical="top" wrapText="1"/>
    </xf>
    <xf numFmtId="0" fontId="51" fillId="24" borderId="22" xfId="0" applyFont="1" applyFill="1" applyBorder="1" applyAlignment="1">
      <alignment horizontal="left" vertical="center"/>
    </xf>
    <xf numFmtId="0" fontId="51" fillId="24" borderId="22" xfId="0" applyFont="1" applyFill="1" applyBorder="1" applyAlignment="1">
      <alignment horizontal="left" vertical="center" wrapText="1"/>
    </xf>
    <xf numFmtId="0" fontId="51" fillId="24" borderId="24" xfId="0" applyFont="1" applyFill="1" applyBorder="1" applyAlignment="1">
      <alignment horizontal="left" vertical="center"/>
    </xf>
    <xf numFmtId="0" fontId="51" fillId="24" borderId="14" xfId="0" applyFont="1" applyFill="1" applyBorder="1" applyAlignment="1">
      <alignment horizontal="left" vertical="top" wrapText="1"/>
    </xf>
    <xf numFmtId="0" fontId="51" fillId="0" borderId="1" xfId="0" applyFont="1" applyBorder="1">
      <alignment vertical="center"/>
    </xf>
    <xf numFmtId="0" fontId="48" fillId="0" borderId="32" xfId="1" applyBorder="1" applyAlignment="1">
      <alignment horizontal="left" vertical="center"/>
    </xf>
    <xf numFmtId="0" fontId="48" fillId="14" borderId="32" xfId="1" applyFill="1" applyBorder="1" applyAlignment="1">
      <alignment horizontal="left" vertical="center" wrapText="1"/>
    </xf>
    <xf numFmtId="0" fontId="48" fillId="11" borderId="32" xfId="1" applyFill="1" applyBorder="1" applyAlignment="1">
      <alignment horizontal="left" vertical="center" wrapText="1"/>
    </xf>
    <xf numFmtId="0" fontId="48" fillId="11" borderId="0" xfId="1" applyFill="1" applyAlignment="1">
      <alignment horizontal="left" vertical="center" wrapText="1"/>
    </xf>
    <xf numFmtId="0" fontId="48" fillId="14" borderId="0" xfId="1" applyFill="1" applyAlignment="1">
      <alignment horizontal="left" vertical="center" wrapText="1"/>
    </xf>
    <xf numFmtId="0" fontId="65" fillId="2" borderId="0" xfId="0" applyFont="1" applyFill="1" applyAlignment="1">
      <alignment horizontal="center" vertical="center" wrapText="1"/>
    </xf>
    <xf numFmtId="0" fontId="48" fillId="2" borderId="31" xfId="1" applyFill="1" applyBorder="1" applyAlignment="1">
      <alignment horizontal="center" vertical="center" wrapText="1"/>
    </xf>
    <xf numFmtId="0" fontId="50" fillId="2" borderId="0" xfId="0" applyFont="1" applyFill="1" applyProtection="1">
      <alignment vertical="center"/>
      <protection locked="0"/>
    </xf>
    <xf numFmtId="0" fontId="50" fillId="2" borderId="0" xfId="0" applyFont="1" applyFill="1">
      <alignment vertical="center"/>
    </xf>
    <xf numFmtId="0" fontId="72" fillId="0" borderId="39" xfId="0" applyFont="1" applyBorder="1" applyAlignment="1">
      <alignment horizontal="center" vertical="center" wrapText="1"/>
    </xf>
    <xf numFmtId="0" fontId="72" fillId="0" borderId="31" xfId="0" applyFont="1" applyBorder="1" applyAlignment="1">
      <alignment horizontal="center" vertical="center" wrapText="1"/>
    </xf>
    <xf numFmtId="0" fontId="72" fillId="0" borderId="32" xfId="0" applyFont="1" applyBorder="1" applyAlignment="1">
      <alignment horizontal="center" vertical="center" wrapText="1"/>
    </xf>
    <xf numFmtId="0" fontId="72" fillId="0" borderId="33" xfId="0" applyFont="1" applyBorder="1" applyAlignment="1">
      <alignment horizontal="center" vertical="center" wrapText="1"/>
    </xf>
    <xf numFmtId="0" fontId="72" fillId="0" borderId="35" xfId="0" applyFont="1" applyBorder="1" applyAlignment="1">
      <alignment horizontal="center" vertical="center" wrapText="1"/>
    </xf>
    <xf numFmtId="0" fontId="72" fillId="0" borderId="29" xfId="0" applyFont="1" applyBorder="1" applyAlignment="1">
      <alignment horizontal="center" vertical="center" wrapText="1"/>
    </xf>
    <xf numFmtId="0" fontId="72" fillId="0" borderId="30" xfId="0" applyFont="1" applyBorder="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58"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17" xfId="0" applyFont="1" applyBorder="1" applyAlignment="1">
      <alignment horizontal="center" vertical="center" wrapText="1"/>
    </xf>
    <xf numFmtId="0" fontId="1" fillId="12" borderId="0" xfId="0" applyFont="1" applyFill="1" applyAlignment="1">
      <alignment horizontal="center" vertical="center" wrapText="1"/>
    </xf>
    <xf numFmtId="0" fontId="1" fillId="13" borderId="0" xfId="0" applyFont="1" applyFill="1" applyAlignment="1">
      <alignment horizontal="center" vertical="center" wrapText="1"/>
    </xf>
    <xf numFmtId="0" fontId="5" fillId="0" borderId="0" xfId="0" applyFont="1" applyAlignment="1">
      <alignment horizontal="center" vertical="center" wrapText="1"/>
    </xf>
    <xf numFmtId="0" fontId="5" fillId="32" borderId="0" xfId="0" applyFont="1" applyFill="1" applyAlignment="1">
      <alignment horizontal="center" vertical="center" wrapText="1"/>
    </xf>
    <xf numFmtId="0" fontId="5" fillId="31" borderId="0" xfId="0" applyFont="1" applyFill="1" applyAlignment="1">
      <alignment horizontal="center" vertical="center" wrapText="1"/>
    </xf>
    <xf numFmtId="0" fontId="21" fillId="0" borderId="25" xfId="0" applyFont="1" applyBorder="1" applyAlignment="1">
      <alignment horizontal="center" vertical="center"/>
    </xf>
    <xf numFmtId="0" fontId="21" fillId="17" borderId="1" xfId="0" applyFont="1" applyFill="1" applyBorder="1" applyAlignment="1">
      <alignment horizontal="center" vertical="center"/>
    </xf>
    <xf numFmtId="0" fontId="21" fillId="16" borderId="1" xfId="0" applyFont="1" applyFill="1" applyBorder="1" applyAlignment="1">
      <alignment horizontal="center" vertical="center"/>
    </xf>
    <xf numFmtId="0" fontId="18" fillId="4" borderId="19" xfId="0" applyFont="1" applyFill="1" applyBorder="1" applyAlignment="1" applyProtection="1">
      <alignment horizontal="center" vertical="center"/>
      <protection locked="0"/>
    </xf>
    <xf numFmtId="0" fontId="1" fillId="4" borderId="0" xfId="0" applyFont="1" applyFill="1" applyAlignment="1">
      <alignment horizontal="center" vertical="center" wrapText="1"/>
    </xf>
    <xf numFmtId="0" fontId="1" fillId="17" borderId="0" xfId="0" applyFont="1" applyFill="1" applyAlignment="1">
      <alignment horizontal="center" vertical="center" wrapText="1"/>
    </xf>
    <xf numFmtId="0" fontId="1" fillId="27" borderId="0" xfId="0" applyFont="1" applyFill="1" applyAlignment="1">
      <alignment horizontal="center" vertical="center" wrapText="1"/>
    </xf>
    <xf numFmtId="0" fontId="1" fillId="28" borderId="0" xfId="0" applyFont="1" applyFill="1" applyAlignment="1">
      <alignment horizontal="center" vertical="center" wrapText="1"/>
    </xf>
    <xf numFmtId="0" fontId="1" fillId="29" borderId="0" xfId="0" applyFont="1" applyFill="1" applyAlignment="1">
      <alignment horizontal="center" vertical="center" wrapText="1"/>
    </xf>
    <xf numFmtId="0" fontId="1" fillId="31" borderId="0" xfId="0" applyFont="1" applyFill="1" applyAlignment="1">
      <alignment horizontal="center" vertical="center" wrapText="1"/>
    </xf>
    <xf numFmtId="0" fontId="1" fillId="33" borderId="0" xfId="0" applyFont="1" applyFill="1" applyAlignment="1">
      <alignment horizontal="center" vertical="center" wrapText="1"/>
    </xf>
    <xf numFmtId="0" fontId="1" fillId="32" borderId="0" xfId="0" applyFont="1" applyFill="1" applyAlignment="1">
      <alignment horizontal="center" vertical="center" wrapText="1"/>
    </xf>
    <xf numFmtId="0" fontId="1" fillId="0" borderId="13"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27" borderId="13" xfId="0" applyFont="1" applyFill="1" applyBorder="1" applyAlignment="1">
      <alignment horizontal="center" vertical="center" wrapText="1"/>
    </xf>
    <xf numFmtId="0" fontId="1" fillId="28" borderId="13"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30" borderId="13" xfId="0" applyFont="1" applyFill="1" applyBorder="1" applyAlignment="1">
      <alignment horizontal="center" vertical="center" wrapText="1"/>
    </xf>
    <xf numFmtId="0" fontId="72" fillId="0" borderId="34" xfId="0" applyFont="1" applyBorder="1" applyAlignment="1">
      <alignment horizontal="center" vertical="center" wrapText="1"/>
    </xf>
    <xf numFmtId="0" fontId="1" fillId="14" borderId="13"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1" fillId="29" borderId="13"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32" borderId="13" xfId="0" applyFont="1" applyFill="1" applyBorder="1" applyAlignment="1">
      <alignment horizontal="center" vertical="center" wrapText="1"/>
    </xf>
    <xf numFmtId="0" fontId="1" fillId="33" borderId="13" xfId="0" applyFont="1" applyFill="1" applyBorder="1" applyAlignment="1">
      <alignment horizontal="center" vertical="center" wrapText="1"/>
    </xf>
    <xf numFmtId="0" fontId="3" fillId="2" borderId="0" xfId="0" applyFont="1" applyFill="1" applyAlignment="1">
      <alignment horizontal="center" vertical="center"/>
    </xf>
    <xf numFmtId="1" fontId="3" fillId="2" borderId="0" xfId="0" applyNumberFormat="1" applyFont="1" applyFill="1" applyAlignment="1">
      <alignment horizontal="center" vertical="center"/>
    </xf>
    <xf numFmtId="0" fontId="9" fillId="2" borderId="0" xfId="0" applyFont="1" applyFill="1" applyAlignment="1">
      <alignment horizontal="center" vertical="center"/>
    </xf>
    <xf numFmtId="0" fontId="21" fillId="0" borderId="1" xfId="0" applyFont="1" applyBorder="1" applyAlignment="1">
      <alignment horizontal="left" vertical="center"/>
    </xf>
    <xf numFmtId="1" fontId="2" fillId="4" borderId="18" xfId="0" applyNumberFormat="1" applyFont="1" applyFill="1" applyBorder="1" applyAlignment="1">
      <alignment horizontal="center" vertical="center" wrapText="1"/>
    </xf>
    <xf numFmtId="0" fontId="1" fillId="2" borderId="0" xfId="0" applyFont="1" applyFill="1" applyAlignment="1">
      <alignment horizontal="center" vertical="top" wrapText="1"/>
    </xf>
    <xf numFmtId="0" fontId="7" fillId="2" borderId="0" xfId="0" applyFont="1" applyFill="1" applyAlignment="1">
      <alignment horizontal="center" vertical="center"/>
    </xf>
    <xf numFmtId="0" fontId="6" fillId="2" borderId="0" xfId="0" applyFont="1" applyFill="1" applyAlignment="1">
      <alignment horizontal="center" vertical="center"/>
    </xf>
    <xf numFmtId="0" fontId="6" fillId="2" borderId="45" xfId="0" applyFont="1" applyFill="1" applyBorder="1" applyAlignment="1">
      <alignment horizontal="center" vertical="center"/>
    </xf>
    <xf numFmtId="0" fontId="8" fillId="2" borderId="0" xfId="0" applyFont="1" applyFill="1" applyAlignment="1">
      <alignment horizontal="center" vertical="center" wrapText="1"/>
    </xf>
    <xf numFmtId="0" fontId="1" fillId="4" borderId="13" xfId="0" applyFont="1" applyFill="1" applyBorder="1" applyAlignment="1" applyProtection="1">
      <alignment horizontal="center" vertical="top" wrapText="1"/>
      <protection locked="0"/>
    </xf>
    <xf numFmtId="0" fontId="1" fillId="7" borderId="13" xfId="0" applyFont="1" applyFill="1" applyBorder="1" applyAlignment="1" applyProtection="1">
      <alignment horizontal="center" vertical="top" wrapText="1"/>
      <protection locked="0"/>
    </xf>
    <xf numFmtId="0" fontId="1" fillId="7" borderId="13" xfId="0" applyFont="1" applyFill="1" applyBorder="1" applyAlignment="1" applyProtection="1">
      <alignment horizontal="left" vertical="top" wrapText="1"/>
      <protection locked="0"/>
    </xf>
    <xf numFmtId="0" fontId="1" fillId="4" borderId="13" xfId="0" applyFont="1" applyFill="1" applyBorder="1" applyAlignment="1" applyProtection="1">
      <alignment horizontal="left" vertical="top" wrapText="1"/>
      <protection locked="0"/>
    </xf>
    <xf numFmtId="0" fontId="50" fillId="2" borderId="0" xfId="0" applyFont="1" applyFill="1" applyAlignment="1">
      <alignment horizontal="center" vertical="center" wrapText="1"/>
    </xf>
    <xf numFmtId="0" fontId="21" fillId="0" borderId="14" xfId="0" applyFont="1" applyBorder="1" applyAlignment="1">
      <alignment horizontal="center" vertical="center"/>
    </xf>
    <xf numFmtId="0" fontId="21" fillId="0" borderId="32" xfId="0" applyFont="1" applyBorder="1" applyAlignment="1">
      <alignment horizontal="center" vertical="center"/>
    </xf>
    <xf numFmtId="0" fontId="50" fillId="2" borderId="0" xfId="2" applyFill="1">
      <alignment vertical="center"/>
    </xf>
    <xf numFmtId="0" fontId="7" fillId="2" borderId="0" xfId="2" applyFont="1" applyFill="1" applyAlignment="1">
      <alignment horizontal="left"/>
    </xf>
    <xf numFmtId="0" fontId="1" fillId="2" borderId="0" xfId="2" applyFont="1" applyFill="1">
      <alignment vertical="center"/>
    </xf>
    <xf numFmtId="0" fontId="31" fillId="2" borderId="0" xfId="2" applyFont="1" applyFill="1" applyAlignment="1">
      <alignment horizontal="center" vertical="center" wrapText="1"/>
    </xf>
    <xf numFmtId="0" fontId="21" fillId="2" borderId="0" xfId="2" applyFont="1" applyFill="1" applyAlignment="1">
      <alignment horizontal="center" vertical="center" wrapText="1"/>
    </xf>
    <xf numFmtId="0" fontId="1" fillId="2" borderId="0" xfId="2" applyFont="1" applyFill="1" applyAlignment="1">
      <alignment horizontal="center" vertical="center" wrapText="1"/>
    </xf>
    <xf numFmtId="0" fontId="1" fillId="8" borderId="1" xfId="2" applyFont="1" applyFill="1" applyBorder="1" applyAlignment="1" applyProtection="1">
      <alignment horizontal="center" vertical="center" wrapText="1"/>
      <protection locked="0"/>
    </xf>
    <xf numFmtId="0" fontId="18" fillId="2" borderId="0" xfId="2" applyFont="1" applyFill="1" applyAlignment="1">
      <alignment horizontal="center" vertical="center"/>
    </xf>
    <xf numFmtId="0" fontId="35" fillId="2" borderId="0" xfId="2" applyFont="1" applyFill="1" applyAlignment="1">
      <alignment vertical="center" wrapText="1"/>
    </xf>
    <xf numFmtId="0" fontId="1" fillId="0" borderId="7" xfId="2" applyFont="1" applyBorder="1" applyAlignment="1">
      <alignment horizontal="center" vertical="center"/>
    </xf>
    <xf numFmtId="0" fontId="51" fillId="0" borderId="22" xfId="0" applyFont="1" applyBorder="1" applyAlignment="1">
      <alignment horizontal="center" vertical="center"/>
    </xf>
    <xf numFmtId="0" fontId="51" fillId="11" borderId="22" xfId="0" applyFont="1" applyFill="1" applyBorder="1" applyAlignment="1">
      <alignment horizontal="center" vertical="center"/>
    </xf>
    <xf numFmtId="0" fontId="51" fillId="19" borderId="22" xfId="0" applyFont="1" applyFill="1" applyBorder="1" applyAlignment="1">
      <alignment horizontal="center" vertical="center"/>
    </xf>
    <xf numFmtId="0" fontId="51" fillId="20" borderId="22" xfId="0" applyFont="1" applyFill="1" applyBorder="1" applyAlignment="1">
      <alignment horizontal="center" vertical="center"/>
    </xf>
    <xf numFmtId="0" fontId="51" fillId="21" borderId="22" xfId="0" applyFont="1" applyFill="1" applyBorder="1" applyAlignment="1">
      <alignment horizontal="center" vertical="center"/>
    </xf>
    <xf numFmtId="0" fontId="51" fillId="17" borderId="22" xfId="0" applyFont="1" applyFill="1" applyBorder="1" applyAlignment="1">
      <alignment horizontal="center" vertical="center"/>
    </xf>
    <xf numFmtId="0" fontId="51" fillId="22" borderId="22" xfId="0" applyFont="1" applyFill="1" applyBorder="1" applyAlignment="1">
      <alignment horizontal="center" vertical="center"/>
    </xf>
    <xf numFmtId="0" fontId="51" fillId="23" borderId="22" xfId="0" applyFont="1" applyFill="1" applyBorder="1" applyAlignment="1">
      <alignment horizontal="center" vertical="center"/>
    </xf>
    <xf numFmtId="0" fontId="51" fillId="24" borderId="22" xfId="0" applyFont="1" applyFill="1" applyBorder="1" applyAlignment="1">
      <alignment horizontal="center" vertical="center"/>
    </xf>
    <xf numFmtId="0" fontId="51" fillId="11" borderId="22" xfId="0" applyFont="1" applyFill="1" applyBorder="1" applyAlignment="1">
      <alignment horizontal="left" vertical="top" wrapText="1"/>
    </xf>
    <xf numFmtId="0" fontId="51" fillId="19" borderId="22" xfId="0" applyFont="1" applyFill="1" applyBorder="1" applyAlignment="1">
      <alignment horizontal="left" vertical="top" wrapText="1"/>
    </xf>
    <xf numFmtId="0" fontId="51" fillId="20" borderId="22" xfId="0" applyFont="1" applyFill="1" applyBorder="1" applyAlignment="1">
      <alignment horizontal="left" vertical="top" wrapText="1"/>
    </xf>
    <xf numFmtId="0" fontId="51" fillId="21" borderId="22" xfId="0" applyFont="1" applyFill="1" applyBorder="1" applyAlignment="1">
      <alignment horizontal="left" vertical="top" wrapText="1"/>
    </xf>
    <xf numFmtId="0" fontId="51" fillId="17" borderId="22" xfId="0" applyFont="1" applyFill="1" applyBorder="1" applyAlignment="1">
      <alignment horizontal="left" vertical="top" wrapText="1"/>
    </xf>
    <xf numFmtId="0" fontId="51" fillId="22" borderId="22" xfId="0" applyFont="1" applyFill="1" applyBorder="1" applyAlignment="1">
      <alignment horizontal="left" vertical="top" wrapText="1"/>
    </xf>
    <xf numFmtId="0" fontId="51" fillId="23" borderId="22" xfId="0" applyFont="1" applyFill="1" applyBorder="1" applyAlignment="1">
      <alignment horizontal="left" vertical="top" wrapText="1"/>
    </xf>
    <xf numFmtId="0" fontId="51" fillId="24" borderId="22" xfId="0" applyFont="1" applyFill="1" applyBorder="1" applyAlignment="1">
      <alignment horizontal="left" vertical="top" wrapText="1"/>
    </xf>
    <xf numFmtId="0" fontId="51" fillId="0" borderId="0" xfId="0" applyFont="1" applyAlignment="1">
      <alignment vertical="top" wrapText="1"/>
    </xf>
    <xf numFmtId="0" fontId="51" fillId="0" borderId="0" xfId="0" applyFont="1" applyAlignment="1">
      <alignment horizontal="center" vertical="top" wrapText="1"/>
    </xf>
    <xf numFmtId="49" fontId="18" fillId="57" borderId="9" xfId="0" applyNumberFormat="1" applyFont="1" applyFill="1" applyBorder="1" applyAlignment="1">
      <alignment horizontal="center" vertical="center" wrapText="1"/>
    </xf>
    <xf numFmtId="49" fontId="18" fillId="57" borderId="18" xfId="0" applyNumberFormat="1" applyFont="1" applyFill="1" applyBorder="1" applyAlignment="1">
      <alignment horizontal="center" vertical="center" wrapText="1"/>
    </xf>
    <xf numFmtId="0" fontId="18" fillId="57" borderId="9" xfId="0" applyFont="1" applyFill="1" applyBorder="1" applyAlignment="1">
      <alignment horizontal="center" vertical="center" wrapText="1"/>
    </xf>
    <xf numFmtId="0" fontId="18" fillId="57" borderId="12"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10" xfId="0" applyFont="1" applyFill="1" applyBorder="1" applyAlignment="1">
      <alignment horizontal="center" vertical="center" wrapText="1"/>
    </xf>
    <xf numFmtId="1" fontId="3" fillId="10" borderId="2" xfId="0" applyNumberFormat="1" applyFont="1" applyFill="1" applyBorder="1" applyAlignment="1">
      <alignment horizontal="center" vertical="center" wrapText="1"/>
    </xf>
    <xf numFmtId="0" fontId="3" fillId="10" borderId="43"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16" xfId="0" applyFont="1" applyFill="1" applyBorder="1" applyAlignment="1">
      <alignment horizontal="center" vertical="center" wrapText="1"/>
    </xf>
    <xf numFmtId="0" fontId="3" fillId="2" borderId="0" xfId="2" applyFont="1" applyFill="1" applyAlignment="1">
      <alignment horizontal="center" vertical="center" wrapText="1"/>
    </xf>
    <xf numFmtId="0" fontId="10" fillId="2" borderId="0" xfId="2" applyFont="1" applyFill="1" applyAlignment="1">
      <alignment horizontal="center" vertical="center"/>
    </xf>
    <xf numFmtId="49" fontId="79" fillId="4" borderId="13" xfId="2" applyNumberFormat="1" applyFont="1" applyFill="1" applyBorder="1" applyAlignment="1">
      <alignment horizontal="center" vertical="center"/>
    </xf>
    <xf numFmtId="49" fontId="79" fillId="7" borderId="13" xfId="2" applyNumberFormat="1" applyFont="1" applyFill="1" applyBorder="1" applyAlignment="1">
      <alignment horizontal="center" vertical="center"/>
    </xf>
    <xf numFmtId="0" fontId="53" fillId="0" borderId="32" xfId="0" applyFont="1" applyBorder="1" applyAlignment="1">
      <alignment horizontal="center" vertical="top" wrapText="1"/>
    </xf>
    <xf numFmtId="0" fontId="53" fillId="0" borderId="0" xfId="0" applyFont="1" applyAlignment="1">
      <alignment horizontal="center" vertical="top" wrapText="1"/>
    </xf>
    <xf numFmtId="0" fontId="76" fillId="0" borderId="0" xfId="0" applyFont="1" applyAlignment="1">
      <alignment horizontal="center" vertical="top" wrapText="1"/>
    </xf>
    <xf numFmtId="0" fontId="76" fillId="0" borderId="32" xfId="0" applyFont="1" applyBorder="1" applyAlignment="1">
      <alignment horizontal="center" vertical="top" wrapText="1"/>
    </xf>
    <xf numFmtId="0" fontId="75" fillId="0" borderId="32" xfId="0" applyFont="1" applyBorder="1" applyAlignment="1">
      <alignment horizontal="center" vertical="top" wrapText="1"/>
    </xf>
    <xf numFmtId="0" fontId="75" fillId="0" borderId="0" xfId="0" applyFont="1" applyAlignment="1">
      <alignment horizontal="center" vertical="top" wrapText="1"/>
    </xf>
    <xf numFmtId="0" fontId="80" fillId="49" borderId="32" xfId="0" applyFont="1" applyFill="1" applyBorder="1" applyAlignment="1">
      <alignment horizontal="center" vertical="top" wrapText="1"/>
    </xf>
    <xf numFmtId="0" fontId="80" fillId="49" borderId="0" xfId="0" applyFont="1" applyFill="1" applyAlignment="1">
      <alignment horizontal="center" vertical="top" wrapText="1"/>
    </xf>
    <xf numFmtId="0" fontId="81" fillId="0" borderId="4" xfId="0" applyFont="1" applyBorder="1" applyAlignment="1">
      <alignment horizontal="center" vertical="top" wrapText="1"/>
    </xf>
    <xf numFmtId="0" fontId="81" fillId="0" borderId="8" xfId="0" applyFont="1" applyBorder="1" applyAlignment="1">
      <alignment horizontal="center" vertical="top" wrapText="1"/>
    </xf>
    <xf numFmtId="0" fontId="75" fillId="0" borderId="14" xfId="0" applyFont="1" applyBorder="1" applyAlignment="1">
      <alignment horizontal="center" vertical="top" wrapText="1"/>
    </xf>
    <xf numFmtId="0" fontId="75" fillId="0" borderId="5" xfId="0" applyFont="1" applyBorder="1" applyAlignment="1">
      <alignment horizontal="center" vertical="top" wrapText="1"/>
    </xf>
    <xf numFmtId="0" fontId="75" fillId="0" borderId="10" xfId="0" applyFont="1" applyBorder="1" applyAlignment="1">
      <alignment horizontal="center" vertical="top" wrapText="1"/>
    </xf>
    <xf numFmtId="0" fontId="75" fillId="0" borderId="3" xfId="0" applyFont="1" applyBorder="1" applyAlignment="1">
      <alignment horizontal="center" vertical="top" wrapText="1"/>
    </xf>
    <xf numFmtId="0" fontId="75" fillId="0" borderId="8" xfId="0" applyFont="1" applyBorder="1" applyAlignment="1">
      <alignment horizontal="center" vertical="top" wrapText="1"/>
    </xf>
    <xf numFmtId="0" fontId="75" fillId="0" borderId="15" xfId="0" applyFont="1" applyBorder="1" applyAlignment="1">
      <alignment horizontal="center" vertical="top" wrapText="1"/>
    </xf>
    <xf numFmtId="0" fontId="75" fillId="0" borderId="4" xfId="0" applyFont="1" applyBorder="1" applyAlignment="1">
      <alignment horizontal="center" vertical="top" wrapText="1"/>
    </xf>
    <xf numFmtId="0" fontId="75" fillId="0" borderId="2" xfId="0" applyFont="1" applyBorder="1" applyAlignment="1">
      <alignment horizontal="center" vertical="top" wrapText="1"/>
    </xf>
    <xf numFmtId="0" fontId="76" fillId="0" borderId="10" xfId="0" applyFont="1" applyBorder="1" applyAlignment="1">
      <alignment horizontal="center" vertical="top"/>
    </xf>
    <xf numFmtId="0" fontId="76" fillId="0" borderId="2" xfId="0" applyFont="1" applyBorder="1" applyAlignment="1">
      <alignment horizontal="center" vertical="top"/>
    </xf>
    <xf numFmtId="0" fontId="82" fillId="0" borderId="14" xfId="0" applyFont="1" applyBorder="1" applyAlignment="1">
      <alignment horizontal="center" vertical="center" wrapText="1"/>
    </xf>
    <xf numFmtId="0" fontId="82" fillId="0" borderId="0" xfId="0" applyFont="1" applyAlignment="1">
      <alignment horizontal="center" vertical="center" wrapText="1"/>
    </xf>
    <xf numFmtId="0" fontId="76" fillId="0" borderId="0" xfId="0" applyFont="1" applyAlignment="1">
      <alignment horizontal="center" vertical="top"/>
    </xf>
    <xf numFmtId="0" fontId="5" fillId="0" borderId="0" xfId="0" applyFont="1" applyAlignment="1">
      <alignment horizontal="center" vertical="top" wrapText="1"/>
    </xf>
    <xf numFmtId="49" fontId="76" fillId="0" borderId="15" xfId="0" applyNumberFormat="1" applyFont="1" applyBorder="1" applyAlignment="1">
      <alignment horizontal="center" vertical="top"/>
    </xf>
    <xf numFmtId="0" fontId="76" fillId="0" borderId="14" xfId="0" applyFont="1" applyBorder="1" applyAlignment="1">
      <alignment horizontal="center" vertical="top"/>
    </xf>
    <xf numFmtId="0" fontId="76" fillId="0" borderId="15" xfId="0" applyFont="1" applyBorder="1" applyAlignment="1">
      <alignment horizontal="center" vertical="top"/>
    </xf>
    <xf numFmtId="0" fontId="76" fillId="0" borderId="5" xfId="0" applyFont="1" applyBorder="1" applyAlignment="1">
      <alignment horizontal="center" vertical="top"/>
    </xf>
    <xf numFmtId="0" fontId="89" fillId="0" borderId="0" xfId="1" applyFont="1" applyAlignment="1">
      <alignment horizontal="center" vertical="center"/>
    </xf>
    <xf numFmtId="0" fontId="48" fillId="0" borderId="0" xfId="1" applyAlignment="1">
      <alignment horizontal="center" vertical="center"/>
    </xf>
    <xf numFmtId="0" fontId="89" fillId="59" borderId="1" xfId="1" applyFont="1" applyFill="1" applyBorder="1" applyAlignment="1">
      <alignment horizontal="center" vertical="center"/>
    </xf>
    <xf numFmtId="0" fontId="89" fillId="37" borderId="1" xfId="1" applyFont="1" applyFill="1" applyBorder="1" applyAlignment="1">
      <alignment horizontal="center" vertical="center"/>
    </xf>
    <xf numFmtId="0" fontId="89" fillId="16" borderId="1" xfId="1" applyFont="1" applyFill="1" applyBorder="1" applyAlignment="1">
      <alignment horizontal="center" vertical="center"/>
    </xf>
    <xf numFmtId="0" fontId="89" fillId="29" borderId="1" xfId="1" applyFont="1" applyFill="1" applyBorder="1" applyAlignment="1">
      <alignment horizontal="center" vertical="center"/>
    </xf>
    <xf numFmtId="0" fontId="89" fillId="54" borderId="1" xfId="1" applyFont="1" applyFill="1" applyBorder="1" applyAlignment="1">
      <alignment horizontal="center" vertical="center"/>
    </xf>
    <xf numFmtId="0" fontId="89" fillId="55" borderId="1" xfId="1" applyFont="1" applyFill="1" applyBorder="1" applyAlignment="1">
      <alignment horizontal="center" vertical="center"/>
    </xf>
    <xf numFmtId="0" fontId="89" fillId="60" borderId="1" xfId="1" applyFont="1" applyFill="1" applyBorder="1" applyAlignment="1">
      <alignment horizontal="center" vertical="center"/>
    </xf>
    <xf numFmtId="0" fontId="89" fillId="37" borderId="0" xfId="1" applyFont="1" applyFill="1" applyAlignment="1">
      <alignment horizontal="center" vertical="center"/>
    </xf>
    <xf numFmtId="0" fontId="10" fillId="4" borderId="13" xfId="0" applyFont="1" applyFill="1" applyBorder="1" applyAlignment="1" applyProtection="1">
      <alignment horizontal="center" vertical="center" wrapText="1"/>
      <protection locked="0"/>
    </xf>
    <xf numFmtId="0" fontId="10" fillId="7" borderId="13" xfId="0" applyFont="1" applyFill="1" applyBorder="1" applyAlignment="1" applyProtection="1">
      <alignment horizontal="center" vertical="center" wrapText="1"/>
      <protection locked="0"/>
    </xf>
    <xf numFmtId="0" fontId="10" fillId="4" borderId="13" xfId="0" applyFont="1" applyFill="1" applyBorder="1" applyAlignment="1" applyProtection="1">
      <alignment horizontal="center" vertical="center"/>
      <protection locked="0"/>
    </xf>
    <xf numFmtId="0" fontId="10" fillId="7" borderId="13" xfId="0" applyFont="1" applyFill="1" applyBorder="1" applyAlignment="1" applyProtection="1">
      <alignment horizontal="center" vertical="center"/>
      <protection locked="0"/>
    </xf>
    <xf numFmtId="0" fontId="14" fillId="55" borderId="13" xfId="0" applyFont="1" applyFill="1" applyBorder="1" applyAlignment="1">
      <alignment vertical="center" wrapText="1"/>
    </xf>
    <xf numFmtId="0" fontId="10" fillId="4" borderId="49" xfId="0" applyFont="1" applyFill="1" applyBorder="1" applyAlignment="1" applyProtection="1">
      <alignment horizontal="center" vertical="center" wrapText="1"/>
      <protection locked="0"/>
    </xf>
    <xf numFmtId="0" fontId="10" fillId="7" borderId="49" xfId="0"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31" fillId="4" borderId="47"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76" fillId="0" borderId="2" xfId="0" applyFont="1" applyBorder="1" applyAlignment="1">
      <alignment horizontal="center" vertical="top" wrapText="1"/>
    </xf>
    <xf numFmtId="0" fontId="51" fillId="0" borderId="28" xfId="0" applyFont="1" applyBorder="1" applyAlignment="1">
      <alignment horizontal="left" vertical="center" wrapText="1"/>
    </xf>
    <xf numFmtId="0" fontId="51" fillId="0" borderId="0" xfId="0" applyFont="1" applyAlignment="1">
      <alignment horizontal="left" vertical="center"/>
    </xf>
    <xf numFmtId="0" fontId="58" fillId="16" borderId="31" xfId="0" applyFont="1" applyFill="1" applyBorder="1" applyAlignment="1">
      <alignment horizontal="center" vertical="top" wrapText="1"/>
    </xf>
    <xf numFmtId="0" fontId="58" fillId="16" borderId="26" xfId="0" applyFont="1" applyFill="1" applyBorder="1" applyAlignment="1">
      <alignment horizontal="center" vertical="top" wrapText="1"/>
    </xf>
    <xf numFmtId="0" fontId="58" fillId="16" borderId="0" xfId="0" applyFont="1" applyFill="1" applyAlignment="1">
      <alignment horizontal="center" vertical="top" wrapText="1"/>
    </xf>
    <xf numFmtId="0" fontId="58" fillId="0" borderId="0" xfId="0" applyFont="1" applyAlignment="1">
      <alignment horizontal="center" vertical="top" wrapText="1"/>
    </xf>
    <xf numFmtId="0" fontId="58" fillId="0" borderId="32" xfId="0" applyFont="1" applyBorder="1" applyAlignment="1">
      <alignment horizontal="center" vertical="top" wrapText="1"/>
    </xf>
    <xf numFmtId="0" fontId="58" fillId="4" borderId="31" xfId="0" applyFont="1" applyFill="1" applyBorder="1" applyAlignment="1">
      <alignment horizontal="center" vertical="top" wrapText="1"/>
    </xf>
    <xf numFmtId="0" fontId="58" fillId="4" borderId="26" xfId="0" applyFont="1" applyFill="1" applyBorder="1" applyAlignment="1">
      <alignment horizontal="center" vertical="top" wrapText="1"/>
    </xf>
    <xf numFmtId="0" fontId="58" fillId="4" borderId="0" xfId="0" applyFont="1" applyFill="1" applyAlignment="1">
      <alignment horizontal="center" vertical="top" wrapText="1"/>
    </xf>
    <xf numFmtId="0" fontId="58" fillId="10" borderId="0" xfId="0" applyFont="1" applyFill="1" applyAlignment="1">
      <alignment horizontal="center" vertical="top" wrapText="1"/>
    </xf>
    <xf numFmtId="0" fontId="58" fillId="10" borderId="26" xfId="0" applyFont="1" applyFill="1" applyBorder="1" applyAlignment="1">
      <alignment horizontal="center" vertical="top" wrapText="1"/>
    </xf>
    <xf numFmtId="0" fontId="58" fillId="12" borderId="0" xfId="0" applyFont="1" applyFill="1" applyAlignment="1">
      <alignment horizontal="center" vertical="top" wrapText="1"/>
    </xf>
    <xf numFmtId="0" fontId="58" fillId="12" borderId="26" xfId="0" applyFont="1" applyFill="1" applyBorder="1" applyAlignment="1">
      <alignment horizontal="center" vertical="top" wrapText="1"/>
    </xf>
    <xf numFmtId="0" fontId="58" fillId="10" borderId="31" xfId="0" applyFont="1" applyFill="1" applyBorder="1" applyAlignment="1">
      <alignment horizontal="center" vertical="top" wrapText="1"/>
    </xf>
    <xf numFmtId="0" fontId="58" fillId="12" borderId="31" xfId="0" applyFont="1" applyFill="1" applyBorder="1" applyAlignment="1">
      <alignment horizontal="center" vertical="top" wrapText="1"/>
    </xf>
    <xf numFmtId="0" fontId="58" fillId="31" borderId="0" xfId="0" applyFont="1" applyFill="1" applyAlignment="1">
      <alignment horizontal="center" vertical="top" wrapText="1"/>
    </xf>
    <xf numFmtId="0" fontId="58" fillId="31" borderId="26" xfId="0" applyFont="1" applyFill="1" applyBorder="1" applyAlignment="1">
      <alignment horizontal="center" vertical="top" wrapText="1"/>
    </xf>
    <xf numFmtId="0" fontId="58" fillId="17" borderId="0" xfId="0" applyFont="1" applyFill="1" applyAlignment="1">
      <alignment horizontal="center" vertical="top" wrapText="1"/>
    </xf>
    <xf numFmtId="0" fontId="58" fillId="17" borderId="26" xfId="0" applyFont="1" applyFill="1" applyBorder="1" applyAlignment="1">
      <alignment horizontal="center" vertical="top" wrapText="1"/>
    </xf>
    <xf numFmtId="0" fontId="58" fillId="31" borderId="31" xfId="0" applyFont="1" applyFill="1" applyBorder="1" applyAlignment="1">
      <alignment horizontal="center" vertical="top" wrapText="1"/>
    </xf>
    <xf numFmtId="0" fontId="58" fillId="0" borderId="31" xfId="0" applyFont="1" applyBorder="1" applyAlignment="1">
      <alignment horizontal="center" vertical="top" wrapText="1"/>
    </xf>
    <xf numFmtId="0" fontId="58" fillId="25" borderId="0" xfId="0" applyFont="1" applyFill="1" applyAlignment="1">
      <alignment horizontal="center" vertical="top" wrapText="1"/>
    </xf>
    <xf numFmtId="0" fontId="58" fillId="25" borderId="26" xfId="0" applyFont="1" applyFill="1" applyBorder="1" applyAlignment="1">
      <alignment horizontal="center" vertical="top" wrapText="1"/>
    </xf>
    <xf numFmtId="0" fontId="1" fillId="0" borderId="0" xfId="0" applyFont="1" applyAlignment="1">
      <alignment horizontal="center" vertical="top" wrapText="1"/>
    </xf>
    <xf numFmtId="0" fontId="58" fillId="0" borderId="33" xfId="0" applyFont="1" applyBorder="1" applyAlignment="1">
      <alignment horizontal="center" vertical="top" wrapText="1"/>
    </xf>
    <xf numFmtId="0" fontId="58" fillId="0" borderId="34" xfId="0" applyFont="1" applyBorder="1" applyAlignment="1">
      <alignment horizontal="center" vertical="top" wrapText="1"/>
    </xf>
    <xf numFmtId="0" fontId="58" fillId="0" borderId="35" xfId="0" applyFont="1" applyBorder="1" applyAlignment="1">
      <alignment horizontal="center" vertical="top" wrapText="1"/>
    </xf>
    <xf numFmtId="0" fontId="50" fillId="0" borderId="31"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35" xfId="0" applyFont="1" applyBorder="1" applyAlignment="1">
      <alignment horizontal="center" vertical="center" wrapText="1"/>
    </xf>
    <xf numFmtId="0" fontId="55" fillId="0" borderId="0" xfId="0" applyFont="1" applyAlignment="1">
      <alignment horizontal="center" vertical="center"/>
    </xf>
    <xf numFmtId="0" fontId="50" fillId="0" borderId="0" xfId="0" applyFont="1" applyAlignment="1">
      <alignment horizontal="center" vertical="center"/>
    </xf>
    <xf numFmtId="0" fontId="0" fillId="0" borderId="0" xfId="0" applyAlignment="1">
      <alignment horizontal="center" vertical="center"/>
    </xf>
    <xf numFmtId="0" fontId="50" fillId="0" borderId="0" xfId="0" applyFont="1" applyAlignment="1">
      <alignment horizontal="center" vertical="top" wrapText="1"/>
    </xf>
    <xf numFmtId="0" fontId="50" fillId="21" borderId="0" xfId="0" applyFont="1" applyFill="1" applyAlignment="1">
      <alignment horizontal="center" vertical="top" wrapText="1"/>
    </xf>
    <xf numFmtId="0" fontId="50" fillId="0" borderId="2" xfId="0" applyFont="1" applyBorder="1" applyAlignment="1">
      <alignment horizontal="center" vertical="top" wrapText="1"/>
    </xf>
    <xf numFmtId="0" fontId="50" fillId="0" borderId="10" xfId="0" applyFont="1" applyBorder="1" applyAlignment="1">
      <alignment horizontal="center" vertical="top" wrapText="1"/>
    </xf>
    <xf numFmtId="0" fontId="50" fillId="0" borderId="2" xfId="0" applyFont="1" applyBorder="1" applyAlignment="1">
      <alignment horizontal="center" vertical="center" wrapText="1"/>
    </xf>
    <xf numFmtId="0" fontId="50" fillId="21" borderId="0" xfId="0" applyFont="1" applyFill="1" applyAlignment="1">
      <alignment horizontal="center" vertical="center" wrapText="1"/>
    </xf>
    <xf numFmtId="0" fontId="50" fillId="0" borderId="0" xfId="0" quotePrefix="1" applyFont="1" applyAlignment="1">
      <alignment horizontal="center" vertical="center" wrapText="1"/>
    </xf>
    <xf numFmtId="0" fontId="92" fillId="0" borderId="0" xfId="0" applyFont="1" applyAlignment="1">
      <alignment horizontal="center" vertical="center" wrapText="1"/>
    </xf>
    <xf numFmtId="0" fontId="50" fillId="21" borderId="0" xfId="0" quotePrefix="1" applyFont="1" applyFill="1" applyAlignment="1">
      <alignment horizontal="center" vertical="center" wrapText="1"/>
    </xf>
    <xf numFmtId="0" fontId="21" fillId="7" borderId="47" xfId="0" applyFont="1" applyFill="1" applyBorder="1" applyAlignment="1">
      <alignment horizontal="center" vertical="center" wrapText="1"/>
    </xf>
    <xf numFmtId="0" fontId="21" fillId="4" borderId="47" xfId="0" applyFont="1" applyFill="1" applyBorder="1" applyAlignment="1">
      <alignment horizontal="center" vertical="center" wrapText="1"/>
    </xf>
    <xf numFmtId="0" fontId="97" fillId="2" borderId="0" xfId="0" applyFont="1" applyFill="1" applyAlignment="1">
      <alignment horizontal="left"/>
    </xf>
    <xf numFmtId="0" fontId="98" fillId="2" borderId="0" xfId="0" applyFont="1" applyFill="1" applyAlignment="1">
      <alignment wrapText="1"/>
    </xf>
    <xf numFmtId="0" fontId="99" fillId="2" borderId="0" xfId="0" applyFont="1" applyFill="1" applyAlignment="1">
      <alignment horizontal="center" vertical="center" wrapText="1"/>
    </xf>
    <xf numFmtId="0" fontId="97" fillId="2" borderId="0" xfId="0" applyFont="1" applyFill="1" applyAlignment="1">
      <alignment horizontal="center" wrapText="1"/>
    </xf>
    <xf numFmtId="0" fontId="100" fillId="2" borderId="0" xfId="0" applyFont="1" applyFill="1" applyAlignment="1">
      <alignment horizontal="center" vertical="center" wrapText="1"/>
    </xf>
    <xf numFmtId="0" fontId="4" fillId="2" borderId="0" xfId="0" applyFont="1" applyFill="1" applyAlignment="1">
      <alignment horizontal="center" vertical="center" wrapText="1"/>
    </xf>
    <xf numFmtId="0" fontId="97" fillId="2" borderId="0" xfId="0" applyFont="1" applyFill="1" applyAlignment="1">
      <alignment horizontal="right"/>
    </xf>
    <xf numFmtId="0" fontId="97" fillId="2" borderId="0" xfId="0" applyFont="1" applyFill="1" applyAlignment="1">
      <alignment wrapText="1"/>
    </xf>
    <xf numFmtId="0" fontId="99" fillId="2" borderId="0" xfId="0" applyFont="1" applyFill="1" applyAlignment="1">
      <alignment horizontal="center" wrapText="1"/>
    </xf>
    <xf numFmtId="0" fontId="102" fillId="2" borderId="0" xfId="0" applyFont="1" applyFill="1" applyAlignment="1">
      <alignment horizontal="center" vertical="center"/>
    </xf>
    <xf numFmtId="0" fontId="101" fillId="2" borderId="0" xfId="0" quotePrefix="1" applyFont="1" applyFill="1" applyAlignment="1">
      <alignment horizontal="center" vertical="center"/>
    </xf>
    <xf numFmtId="0" fontId="55" fillId="2" borderId="0" xfId="0" applyFont="1" applyFill="1">
      <alignment vertical="center"/>
    </xf>
    <xf numFmtId="0" fontId="103" fillId="0" borderId="0" xfId="0" applyFont="1" applyAlignment="1">
      <alignment horizontal="center" vertical="top" wrapText="1"/>
    </xf>
    <xf numFmtId="0" fontId="14" fillId="8" borderId="13" xfId="0" applyFont="1" applyFill="1" applyBorder="1" applyAlignment="1" applyProtection="1">
      <alignment horizontal="center" vertical="center" wrapText="1"/>
      <protection locked="0"/>
    </xf>
    <xf numFmtId="0" fontId="104" fillId="8" borderId="13" xfId="0" applyFont="1" applyFill="1" applyBorder="1" applyAlignment="1" applyProtection="1">
      <alignment horizontal="center" vertical="center"/>
      <protection locked="0"/>
    </xf>
    <xf numFmtId="0" fontId="14" fillId="8" borderId="13" xfId="0" applyFont="1" applyFill="1" applyBorder="1" applyAlignment="1" applyProtection="1">
      <alignment horizontal="center" vertical="center"/>
      <protection locked="0"/>
    </xf>
    <xf numFmtId="0" fontId="21" fillId="4" borderId="47" xfId="0" applyFont="1" applyFill="1" applyBorder="1" applyAlignment="1" applyProtection="1">
      <alignment horizontal="center" vertical="center" wrapText="1"/>
      <protection locked="0"/>
    </xf>
    <xf numFmtId="0" fontId="55" fillId="0" borderId="0" xfId="0" applyFont="1" applyAlignment="1">
      <alignment horizontal="center" vertical="center" wrapText="1"/>
    </xf>
    <xf numFmtId="0" fontId="50" fillId="61" borderId="0" xfId="0" applyFont="1" applyFill="1" applyAlignment="1">
      <alignment horizontal="center" vertical="center" wrapText="1"/>
    </xf>
    <xf numFmtId="0" fontId="50" fillId="0" borderId="0" xfId="2" applyAlignment="1" applyProtection="1">
      <alignment horizontal="center" vertical="center" wrapText="1"/>
      <protection locked="0"/>
    </xf>
    <xf numFmtId="0" fontId="55" fillId="0" borderId="0" xfId="2" applyFont="1" applyAlignment="1" applyProtection="1">
      <alignment horizontal="center" vertical="center" wrapText="1"/>
      <protection locked="0"/>
    </xf>
    <xf numFmtId="49" fontId="50" fillId="0" borderId="0" xfId="2" quotePrefix="1" applyNumberFormat="1" applyAlignment="1" applyProtection="1">
      <alignment horizontal="center" vertical="center" wrapText="1"/>
      <protection locked="0"/>
    </xf>
    <xf numFmtId="49" fontId="50" fillId="7" borderId="0" xfId="2" applyNumberFormat="1" applyFill="1" applyAlignment="1" applyProtection="1">
      <alignment horizontal="center" vertical="center" wrapText="1"/>
      <protection locked="0"/>
    </xf>
    <xf numFmtId="49" fontId="50" fillId="0" borderId="0" xfId="2" applyNumberFormat="1" applyAlignment="1" applyProtection="1">
      <alignment horizontal="center" vertical="center" wrapText="1"/>
      <protection locked="0"/>
    </xf>
    <xf numFmtId="0" fontId="50" fillId="0" borderId="0" xfId="2" applyAlignment="1" applyProtection="1">
      <alignment horizontal="center" vertical="top" wrapText="1"/>
      <protection locked="0"/>
    </xf>
    <xf numFmtId="0" fontId="50" fillId="0" borderId="0" xfId="2" applyAlignment="1" applyProtection="1">
      <alignment horizontal="center" vertical="center"/>
      <protection locked="0"/>
    </xf>
    <xf numFmtId="0" fontId="50" fillId="0" borderId="0" xfId="2" applyAlignment="1">
      <alignment horizontal="center" vertical="center" wrapText="1"/>
    </xf>
    <xf numFmtId="0" fontId="82" fillId="0" borderId="15" xfId="0" applyFont="1" applyBorder="1" applyAlignment="1">
      <alignment horizontal="center" vertical="center" wrapText="1"/>
    </xf>
    <xf numFmtId="0" fontId="76" fillId="0" borderId="3" xfId="0" applyFont="1" applyBorder="1" applyAlignment="1">
      <alignment horizontal="center" vertical="top"/>
    </xf>
    <xf numFmtId="0" fontId="76" fillId="0" borderId="8" xfId="0" applyFont="1" applyBorder="1" applyAlignment="1">
      <alignment horizontal="center" vertical="top"/>
    </xf>
    <xf numFmtId="0" fontId="107" fillId="2" borderId="0" xfId="0" applyFont="1" applyFill="1" applyAlignment="1">
      <alignment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1" fillId="0" borderId="2" xfId="0" applyFont="1" applyBorder="1">
      <alignment vertical="center"/>
    </xf>
    <xf numFmtId="0" fontId="14" fillId="8" borderId="66" xfId="0" applyFont="1" applyFill="1" applyBorder="1" applyAlignment="1" applyProtection="1">
      <alignment horizontal="center" vertical="center" wrapText="1"/>
      <protection locked="0"/>
    </xf>
    <xf numFmtId="0" fontId="10" fillId="7" borderId="84" xfId="0" applyFont="1" applyFill="1" applyBorder="1" applyAlignment="1" applyProtection="1">
      <alignment horizontal="center" vertical="center" wrapText="1"/>
      <protection locked="0"/>
    </xf>
    <xf numFmtId="0" fontId="14" fillId="8" borderId="83" xfId="0" applyFont="1" applyFill="1" applyBorder="1" applyAlignment="1" applyProtection="1">
      <alignment horizontal="center" vertical="center" wrapText="1"/>
      <protection locked="0"/>
    </xf>
    <xf numFmtId="0" fontId="10" fillId="4" borderId="86" xfId="0" applyFont="1" applyFill="1" applyBorder="1" applyAlignment="1" applyProtection="1">
      <alignment horizontal="center" vertical="center" wrapText="1"/>
      <protection locked="0"/>
    </xf>
    <xf numFmtId="0" fontId="14" fillId="18" borderId="71" xfId="0" applyFont="1" applyFill="1" applyBorder="1" applyAlignment="1" applyProtection="1">
      <alignment horizontal="center" vertical="center"/>
      <protection locked="0"/>
    </xf>
    <xf numFmtId="0" fontId="14" fillId="18" borderId="72" xfId="0" applyFont="1" applyFill="1" applyBorder="1" applyAlignment="1" applyProtection="1">
      <alignment horizontal="center" vertical="center"/>
      <protection locked="0"/>
    </xf>
    <xf numFmtId="0" fontId="14" fillId="18" borderId="73" xfId="0" applyFont="1" applyFill="1" applyBorder="1" applyAlignment="1" applyProtection="1">
      <alignment horizontal="center" vertical="center"/>
      <protection locked="0"/>
    </xf>
    <xf numFmtId="0" fontId="1" fillId="7" borderId="44" xfId="0" applyFont="1" applyFill="1" applyBorder="1" applyAlignment="1" applyProtection="1">
      <alignment horizontal="center" vertical="top" wrapText="1"/>
      <protection locked="0"/>
    </xf>
    <xf numFmtId="0" fontId="1" fillId="7" borderId="47" xfId="0" applyFont="1" applyFill="1" applyBorder="1" applyAlignment="1" applyProtection="1">
      <alignment horizontal="center" vertical="top" wrapText="1"/>
      <protection locked="0"/>
    </xf>
    <xf numFmtId="0" fontId="96" fillId="7" borderId="13" xfId="0" applyFont="1" applyFill="1" applyBorder="1" applyAlignment="1" applyProtection="1">
      <alignment horizontal="right" vertical="center" wrapText="1"/>
      <protection locked="0"/>
    </xf>
    <xf numFmtId="0" fontId="96" fillId="7" borderId="44" xfId="0" applyFont="1" applyFill="1" applyBorder="1" applyAlignment="1" applyProtection="1">
      <alignment horizontal="right" vertical="center" wrapText="1"/>
      <protection locked="0"/>
    </xf>
    <xf numFmtId="0" fontId="1" fillId="4" borderId="44" xfId="0" applyFont="1" applyFill="1" applyBorder="1" applyAlignment="1" applyProtection="1">
      <alignment horizontal="center" vertical="top" wrapText="1"/>
      <protection locked="0"/>
    </xf>
    <xf numFmtId="0" fontId="1" fillId="4" borderId="47" xfId="0" applyFont="1" applyFill="1" applyBorder="1" applyAlignment="1" applyProtection="1">
      <alignment horizontal="center" vertical="top" wrapText="1"/>
      <protection locked="0"/>
    </xf>
    <xf numFmtId="0" fontId="96" fillId="4" borderId="13" xfId="0" applyFont="1" applyFill="1" applyBorder="1" applyAlignment="1" applyProtection="1">
      <alignment horizontal="right" vertical="center" wrapText="1"/>
      <protection locked="0"/>
    </xf>
    <xf numFmtId="0" fontId="96" fillId="4" borderId="44" xfId="0" applyFont="1" applyFill="1" applyBorder="1" applyAlignment="1" applyProtection="1">
      <alignment horizontal="right" vertical="center" wrapText="1"/>
      <protection locked="0"/>
    </xf>
    <xf numFmtId="0" fontId="4" fillId="4" borderId="48" xfId="0" applyFont="1" applyFill="1" applyBorder="1" applyAlignment="1" applyProtection="1">
      <alignment horizontal="left" vertical="center" wrapText="1"/>
      <protection locked="0"/>
    </xf>
    <xf numFmtId="0" fontId="4" fillId="4" borderId="44" xfId="0" applyFont="1" applyFill="1" applyBorder="1" applyAlignment="1" applyProtection="1">
      <alignment horizontal="left" vertical="center" wrapText="1"/>
      <protection locked="0"/>
    </xf>
    <xf numFmtId="0" fontId="97" fillId="2" borderId="45" xfId="0" applyFont="1" applyFill="1" applyBorder="1" applyAlignment="1">
      <alignment horizontal="center" wrapText="1"/>
    </xf>
    <xf numFmtId="0" fontId="97" fillId="2" borderId="0" xfId="0" applyFont="1" applyFill="1" applyAlignment="1">
      <alignment horizontal="center" wrapText="1"/>
    </xf>
    <xf numFmtId="0" fontId="96" fillId="4" borderId="47" xfId="0" applyFont="1" applyFill="1" applyBorder="1" applyAlignment="1" applyProtection="1">
      <alignment horizontal="right" vertical="center" wrapText="1"/>
      <protection locked="0"/>
    </xf>
    <xf numFmtId="0" fontId="46" fillId="4" borderId="82" xfId="0" applyFont="1" applyFill="1" applyBorder="1" applyAlignment="1" applyProtection="1">
      <alignment horizontal="center" vertical="center" wrapText="1"/>
      <protection locked="0"/>
    </xf>
    <xf numFmtId="0" fontId="46" fillId="4" borderId="48" xfId="0" applyFont="1" applyFill="1" applyBorder="1" applyAlignment="1" applyProtection="1">
      <alignment horizontal="center" vertical="center" wrapText="1"/>
      <protection locked="0"/>
    </xf>
    <xf numFmtId="0" fontId="4" fillId="7" borderId="48" xfId="0" applyFont="1" applyFill="1" applyBorder="1" applyAlignment="1" applyProtection="1">
      <alignment horizontal="left" vertical="center" wrapText="1"/>
      <protection locked="0"/>
    </xf>
    <xf numFmtId="0" fontId="4" fillId="7" borderId="44" xfId="0" applyFont="1" applyFill="1" applyBorder="1" applyAlignment="1" applyProtection="1">
      <alignment horizontal="left" vertical="center" wrapText="1"/>
      <protection locked="0"/>
    </xf>
    <xf numFmtId="0" fontId="46" fillId="7" borderId="82" xfId="0" applyFont="1" applyFill="1" applyBorder="1" applyAlignment="1" applyProtection="1">
      <alignment horizontal="center" vertical="center" wrapText="1"/>
      <protection locked="0"/>
    </xf>
    <xf numFmtId="0" fontId="46" fillId="7" borderId="48" xfId="0" applyFont="1" applyFill="1" applyBorder="1" applyAlignment="1" applyProtection="1">
      <alignment horizontal="center" vertical="center" wrapText="1"/>
      <protection locked="0"/>
    </xf>
    <xf numFmtId="0" fontId="28" fillId="7" borderId="13" xfId="0" applyFont="1" applyFill="1" applyBorder="1" applyAlignment="1" applyProtection="1">
      <alignment horizontal="center" vertical="center"/>
      <protection locked="0"/>
    </xf>
    <xf numFmtId="0" fontId="106" fillId="11" borderId="13" xfId="0" applyFont="1" applyFill="1" applyBorder="1" applyAlignment="1" applyProtection="1">
      <alignment horizontal="center" vertical="center" wrapText="1"/>
      <protection locked="0"/>
    </xf>
    <xf numFmtId="0" fontId="28" fillId="4" borderId="13" xfId="0" applyFont="1" applyFill="1" applyBorder="1" applyAlignment="1" applyProtection="1">
      <alignment horizontal="center" vertical="center" wrapText="1"/>
      <protection locked="0"/>
    </xf>
    <xf numFmtId="0" fontId="105" fillId="12" borderId="13" xfId="0" applyFont="1" applyFill="1" applyBorder="1" applyAlignment="1" applyProtection="1">
      <alignment horizontal="center" vertical="center" wrapText="1"/>
      <protection locked="0"/>
    </xf>
    <xf numFmtId="0" fontId="97" fillId="2" borderId="0" xfId="0" applyFont="1" applyFill="1" applyAlignment="1">
      <alignment horizontal="center"/>
    </xf>
    <xf numFmtId="0" fontId="14" fillId="18" borderId="51" xfId="0" applyFont="1" applyFill="1" applyBorder="1" applyAlignment="1">
      <alignment horizontal="center" vertical="center" wrapText="1"/>
    </xf>
    <xf numFmtId="0" fontId="14" fillId="18" borderId="52" xfId="0" applyFont="1" applyFill="1" applyBorder="1" applyAlignment="1">
      <alignment horizontal="center" vertical="center" wrapText="1"/>
    </xf>
    <xf numFmtId="176" fontId="5" fillId="4" borderId="13" xfId="0" applyNumberFormat="1" applyFont="1" applyFill="1" applyBorder="1" applyAlignment="1" applyProtection="1">
      <alignment horizontal="center" vertical="center"/>
      <protection locked="0"/>
    </xf>
    <xf numFmtId="0" fontId="21" fillId="4" borderId="55" xfId="0" applyFont="1" applyFill="1" applyBorder="1" applyAlignment="1" applyProtection="1">
      <alignment horizontal="left" vertical="center" wrapText="1"/>
      <protection locked="0"/>
    </xf>
    <xf numFmtId="0" fontId="21" fillId="4" borderId="56" xfId="0" applyFont="1" applyFill="1" applyBorder="1" applyAlignment="1" applyProtection="1">
      <alignment horizontal="left" vertical="center" wrapText="1"/>
      <protection locked="0"/>
    </xf>
    <xf numFmtId="0" fontId="21" fillId="4" borderId="57" xfId="0" applyFont="1" applyFill="1" applyBorder="1" applyAlignment="1" applyProtection="1">
      <alignment horizontal="left" vertical="center" wrapText="1"/>
      <protection locked="0"/>
    </xf>
    <xf numFmtId="0" fontId="21" fillId="4" borderId="60" xfId="0" applyFont="1" applyFill="1" applyBorder="1" applyAlignment="1" applyProtection="1">
      <alignment horizontal="left" vertical="center" wrapText="1"/>
      <protection locked="0"/>
    </xf>
    <xf numFmtId="0" fontId="21" fillId="4" borderId="0" xfId="0" applyFont="1" applyFill="1" applyAlignment="1" applyProtection="1">
      <alignment horizontal="left" vertical="center" wrapText="1"/>
      <protection locked="0"/>
    </xf>
    <xf numFmtId="0" fontId="21" fillId="4" borderId="61" xfId="0" applyFont="1" applyFill="1" applyBorder="1" applyAlignment="1" applyProtection="1">
      <alignment horizontal="left" vertical="center" wrapText="1"/>
      <protection locked="0"/>
    </xf>
    <xf numFmtId="0" fontId="21" fillId="4" borderId="58" xfId="0" applyFont="1" applyFill="1" applyBorder="1" applyAlignment="1" applyProtection="1">
      <alignment horizontal="left" vertical="center" wrapText="1"/>
      <protection locked="0"/>
    </xf>
    <xf numFmtId="0" fontId="21" fillId="4" borderId="45" xfId="0" applyFont="1" applyFill="1" applyBorder="1" applyAlignment="1" applyProtection="1">
      <alignment horizontal="left" vertical="center" wrapText="1"/>
      <protection locked="0"/>
    </xf>
    <xf numFmtId="0" fontId="21" fillId="4" borderId="59" xfId="0" applyFont="1" applyFill="1" applyBorder="1" applyAlignment="1" applyProtection="1">
      <alignment horizontal="left" vertical="center" wrapText="1"/>
      <protection locked="0"/>
    </xf>
    <xf numFmtId="0" fontId="97" fillId="2" borderId="0" xfId="0" applyFont="1" applyFill="1" applyAlignment="1">
      <alignment horizontal="left" wrapText="1"/>
    </xf>
    <xf numFmtId="0" fontId="21" fillId="4" borderId="75" xfId="0" applyFont="1" applyFill="1" applyBorder="1" applyAlignment="1" applyProtection="1">
      <alignment horizontal="center" vertical="center"/>
      <protection locked="0"/>
    </xf>
    <xf numFmtId="0" fontId="21" fillId="4" borderId="76" xfId="0" applyFont="1" applyFill="1" applyBorder="1" applyAlignment="1" applyProtection="1">
      <alignment horizontal="center" vertical="center"/>
      <protection locked="0"/>
    </xf>
    <xf numFmtId="0" fontId="21" fillId="4" borderId="77" xfId="0" applyFont="1" applyFill="1" applyBorder="1" applyAlignment="1" applyProtection="1">
      <alignment horizontal="center" vertical="center"/>
      <protection locked="0"/>
    </xf>
    <xf numFmtId="0" fontId="21" fillId="4" borderId="78" xfId="0" applyFont="1" applyFill="1" applyBorder="1" applyAlignment="1" applyProtection="1">
      <alignment horizontal="center" vertical="center"/>
      <protection locked="0"/>
    </xf>
    <xf numFmtId="0" fontId="21" fillId="4" borderId="44" xfId="0" applyFont="1" applyFill="1" applyBorder="1" applyAlignment="1" applyProtection="1">
      <alignment horizontal="center" vertical="center"/>
      <protection locked="0"/>
    </xf>
    <xf numFmtId="0" fontId="21" fillId="4" borderId="47" xfId="0" applyFont="1" applyFill="1" applyBorder="1" applyAlignment="1" applyProtection="1">
      <alignment horizontal="center" vertical="center"/>
      <protection locked="0"/>
    </xf>
    <xf numFmtId="0" fontId="21" fillId="4" borderId="48" xfId="0" applyFont="1" applyFill="1" applyBorder="1" applyAlignment="1" applyProtection="1">
      <alignment horizontal="center" vertical="center"/>
      <protection locked="0"/>
    </xf>
    <xf numFmtId="0" fontId="21" fillId="7" borderId="13" xfId="0" applyFont="1" applyFill="1" applyBorder="1" applyAlignment="1" applyProtection="1">
      <alignment horizontal="left" vertical="top" wrapText="1"/>
      <protection locked="0"/>
    </xf>
    <xf numFmtId="0" fontId="21" fillId="4" borderId="13" xfId="0" applyFont="1" applyFill="1" applyBorder="1" applyAlignment="1" applyProtection="1">
      <alignment horizontal="left" vertical="top" wrapText="1"/>
      <protection locked="0"/>
    </xf>
    <xf numFmtId="0" fontId="28" fillId="4" borderId="13" xfId="0" applyFont="1" applyFill="1" applyBorder="1" applyAlignment="1" applyProtection="1">
      <alignment horizontal="center" vertical="center"/>
      <protection locked="0"/>
    </xf>
    <xf numFmtId="0" fontId="14" fillId="55" borderId="0" xfId="0" applyFont="1" applyFill="1" applyAlignment="1">
      <alignment horizontal="center" vertical="center"/>
    </xf>
    <xf numFmtId="0" fontId="21" fillId="4" borderId="44" xfId="0" applyFont="1" applyFill="1" applyBorder="1" applyAlignment="1" applyProtection="1">
      <alignment horizontal="center" vertical="center" wrapText="1"/>
      <protection locked="0"/>
    </xf>
    <xf numFmtId="0" fontId="21" fillId="4" borderId="47" xfId="0" applyFont="1" applyFill="1" applyBorder="1" applyAlignment="1" applyProtection="1">
      <alignment horizontal="center" vertical="center" wrapText="1"/>
      <protection locked="0"/>
    </xf>
    <xf numFmtId="0" fontId="21" fillId="4" borderId="48" xfId="0" applyFont="1" applyFill="1" applyBorder="1" applyAlignment="1" applyProtection="1">
      <alignment horizontal="center" vertical="center" wrapText="1"/>
      <protection locked="0"/>
    </xf>
    <xf numFmtId="0" fontId="28" fillId="4" borderId="48" xfId="0" applyFont="1" applyFill="1" applyBorder="1" applyAlignment="1" applyProtection="1">
      <alignment horizontal="left" vertical="center" wrapText="1"/>
      <protection locked="0"/>
    </xf>
    <xf numFmtId="0" fontId="28" fillId="4" borderId="13" xfId="0" applyFont="1" applyFill="1" applyBorder="1" applyAlignment="1" applyProtection="1">
      <alignment horizontal="left" vertical="center" wrapText="1"/>
      <protection locked="0"/>
    </xf>
    <xf numFmtId="0" fontId="105" fillId="12" borderId="44" xfId="0" applyFont="1" applyFill="1" applyBorder="1" applyAlignment="1" applyProtection="1">
      <alignment horizontal="center" vertical="center" wrapText="1"/>
      <protection locked="0"/>
    </xf>
    <xf numFmtId="0" fontId="105" fillId="12" borderId="48" xfId="0" applyFont="1" applyFill="1" applyBorder="1" applyAlignment="1" applyProtection="1">
      <alignment horizontal="center" vertical="center" wrapText="1"/>
      <protection locked="0"/>
    </xf>
    <xf numFmtId="0" fontId="10" fillId="4" borderId="13" xfId="0" applyFont="1" applyFill="1" applyBorder="1" applyAlignment="1" applyProtection="1">
      <alignment horizontal="center" vertical="center"/>
      <protection locked="0"/>
    </xf>
    <xf numFmtId="0" fontId="4" fillId="4" borderId="13" xfId="0" applyFont="1" applyFill="1" applyBorder="1" applyAlignment="1">
      <alignment horizontal="center" vertical="center" wrapText="1"/>
    </xf>
    <xf numFmtId="0" fontId="14" fillId="55" borderId="13" xfId="0" applyFont="1" applyFill="1" applyBorder="1" applyAlignment="1">
      <alignment horizontal="center" vertical="center" wrapText="1"/>
    </xf>
    <xf numFmtId="0" fontId="97" fillId="2" borderId="0" xfId="0" applyFont="1" applyFill="1" applyAlignment="1">
      <alignment horizontal="center" vertical="center" wrapText="1"/>
    </xf>
    <xf numFmtId="0" fontId="47" fillId="4" borderId="13" xfId="0" applyFont="1" applyFill="1" applyBorder="1" applyAlignment="1" applyProtection="1">
      <alignment horizontal="right" vertical="center"/>
      <protection locked="0"/>
    </xf>
    <xf numFmtId="0" fontId="47" fillId="4" borderId="44" xfId="0" applyFont="1" applyFill="1" applyBorder="1" applyAlignment="1" applyProtection="1">
      <alignment horizontal="right" vertical="center"/>
      <protection locked="0"/>
    </xf>
    <xf numFmtId="0" fontId="47" fillId="4" borderId="48" xfId="0" applyFont="1" applyFill="1" applyBorder="1" applyAlignment="1" applyProtection="1">
      <alignment horizontal="left" vertical="center"/>
      <protection locked="0"/>
    </xf>
    <xf numFmtId="0" fontId="47" fillId="4" borderId="13" xfId="0" applyFont="1" applyFill="1" applyBorder="1" applyAlignment="1" applyProtection="1">
      <alignment horizontal="left" vertical="center"/>
      <protection locked="0"/>
    </xf>
    <xf numFmtId="0" fontId="14" fillId="55" borderId="0" xfId="0" applyFont="1" applyFill="1" applyAlignment="1">
      <alignment horizontal="center" vertical="center" wrapText="1"/>
    </xf>
    <xf numFmtId="0" fontId="14" fillId="55" borderId="47" xfId="0" applyFont="1" applyFill="1" applyBorder="1" applyAlignment="1" applyProtection="1">
      <alignment horizontal="center" vertical="center" wrapText="1"/>
      <protection locked="0"/>
    </xf>
    <xf numFmtId="0" fontId="14" fillId="55" borderId="48" xfId="0" applyFont="1" applyFill="1" applyBorder="1" applyAlignment="1" applyProtection="1">
      <alignment horizontal="center" vertical="center" wrapText="1"/>
      <protection locked="0"/>
    </xf>
    <xf numFmtId="0" fontId="11" fillId="8" borderId="13" xfId="0" applyFont="1" applyFill="1" applyBorder="1" applyAlignment="1">
      <alignment horizontal="center" vertical="center" wrapText="1"/>
    </xf>
    <xf numFmtId="0" fontId="14" fillId="54" borderId="0" xfId="0" applyFont="1" applyFill="1" applyAlignment="1">
      <alignment horizontal="center" vertical="center"/>
    </xf>
    <xf numFmtId="0" fontId="21" fillId="7" borderId="45" xfId="0" applyFont="1" applyFill="1" applyBorder="1" applyAlignment="1" applyProtection="1">
      <alignment horizontal="center" vertical="center" wrapText="1"/>
      <protection locked="0"/>
    </xf>
    <xf numFmtId="0" fontId="21" fillId="7" borderId="59" xfId="0" applyFont="1" applyFill="1" applyBorder="1" applyAlignment="1" applyProtection="1">
      <alignment horizontal="center" vertical="center" wrapText="1"/>
      <protection locked="0"/>
    </xf>
    <xf numFmtId="0" fontId="21" fillId="7" borderId="58" xfId="0" applyFont="1" applyFill="1" applyBorder="1" applyAlignment="1" applyProtection="1">
      <alignment horizontal="center" vertical="center" wrapText="1"/>
      <protection locked="0"/>
    </xf>
    <xf numFmtId="0" fontId="21" fillId="7" borderId="66" xfId="0" applyFont="1" applyFill="1" applyBorder="1" applyAlignment="1" applyProtection="1">
      <alignment horizontal="center" vertical="center" wrapText="1"/>
      <protection locked="0"/>
    </xf>
    <xf numFmtId="0" fontId="97" fillId="2" borderId="0" xfId="0" applyFont="1" applyFill="1" applyAlignment="1">
      <alignment horizontal="right"/>
    </xf>
    <xf numFmtId="0" fontId="4" fillId="4" borderId="13" xfId="0" applyFont="1" applyFill="1" applyBorder="1" applyAlignment="1" applyProtection="1">
      <alignment horizontal="center" vertical="center" wrapText="1"/>
      <protection locked="0"/>
    </xf>
    <xf numFmtId="0" fontId="4" fillId="11" borderId="13" xfId="0" applyFont="1" applyFill="1" applyBorder="1" applyAlignment="1">
      <alignment horizontal="center" vertical="center" wrapText="1"/>
    </xf>
    <xf numFmtId="0" fontId="46" fillId="4" borderId="13" xfId="0" applyFont="1" applyFill="1" applyBorder="1" applyAlignment="1" applyProtection="1">
      <alignment horizontal="center" vertical="center" wrapText="1"/>
      <protection locked="0"/>
    </xf>
    <xf numFmtId="0" fontId="21" fillId="4" borderId="13" xfId="0" applyFont="1" applyFill="1" applyBorder="1" applyAlignment="1" applyProtection="1">
      <alignment horizontal="center" vertical="center" wrapText="1"/>
      <protection locked="0"/>
    </xf>
    <xf numFmtId="0" fontId="74" fillId="29" borderId="0" xfId="0" applyFont="1" applyFill="1" applyAlignment="1">
      <alignment horizontal="center" vertical="center" wrapText="1"/>
    </xf>
    <xf numFmtId="0" fontId="14" fillId="55" borderId="44" xfId="0" applyFont="1" applyFill="1" applyBorder="1" applyAlignment="1" applyProtection="1">
      <alignment horizontal="center" vertical="center" wrapText="1"/>
      <protection locked="0"/>
    </xf>
    <xf numFmtId="0" fontId="1" fillId="4" borderId="13" xfId="0" applyFont="1" applyFill="1" applyBorder="1" applyAlignment="1" applyProtection="1">
      <alignment vertical="center" wrapText="1"/>
      <protection locked="0"/>
    </xf>
    <xf numFmtId="0" fontId="4" fillId="53" borderId="13" xfId="0" applyFont="1" applyFill="1" applyBorder="1" applyAlignment="1" applyProtection="1">
      <alignment horizontal="center" vertical="center" wrapText="1"/>
      <protection locked="0"/>
    </xf>
    <xf numFmtId="0" fontId="14" fillId="18" borderId="13" xfId="0" applyFont="1" applyFill="1" applyBorder="1" applyAlignment="1">
      <alignment horizontal="center" vertical="center" wrapText="1"/>
    </xf>
    <xf numFmtId="0" fontId="4" fillId="51" borderId="13" xfId="0" applyFont="1" applyFill="1" applyBorder="1" applyAlignment="1" applyProtection="1">
      <alignment horizontal="center" vertical="center" wrapText="1"/>
      <protection locked="0"/>
    </xf>
    <xf numFmtId="0" fontId="1" fillId="6" borderId="13" xfId="0" applyFont="1" applyFill="1" applyBorder="1" applyAlignment="1">
      <alignment horizontal="center" vertical="center"/>
    </xf>
    <xf numFmtId="0" fontId="41" fillId="12" borderId="13"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41" fillId="43" borderId="13" xfId="0" applyFont="1" applyFill="1" applyBorder="1" applyAlignment="1">
      <alignment horizontal="center" vertical="center" wrapText="1"/>
    </xf>
    <xf numFmtId="0" fontId="15" fillId="8" borderId="13"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4" fillId="4" borderId="44" xfId="0" applyFont="1" applyFill="1" applyBorder="1" applyAlignment="1" applyProtection="1">
      <alignment horizontal="center" vertical="center" wrapText="1"/>
      <protection locked="0"/>
    </xf>
    <xf numFmtId="0" fontId="21" fillId="4" borderId="44" xfId="0" applyFont="1" applyFill="1" applyBorder="1" applyAlignment="1" applyProtection="1">
      <alignment horizontal="center" vertical="top" wrapText="1"/>
      <protection locked="0"/>
    </xf>
    <xf numFmtId="0" fontId="21" fillId="4" borderId="47" xfId="0" applyFont="1" applyFill="1" applyBorder="1" applyAlignment="1" applyProtection="1">
      <alignment horizontal="center" vertical="top" wrapText="1"/>
      <protection locked="0"/>
    </xf>
    <xf numFmtId="0" fontId="21" fillId="4" borderId="48" xfId="0" applyFont="1" applyFill="1" applyBorder="1" applyAlignment="1" applyProtection="1">
      <alignment horizontal="center" vertical="top" wrapText="1"/>
      <protection locked="0"/>
    </xf>
    <xf numFmtId="0" fontId="21" fillId="4" borderId="85" xfId="0" applyFont="1" applyFill="1" applyBorder="1" applyAlignment="1" applyProtection="1">
      <alignment horizontal="right" vertical="center" wrapText="1"/>
      <protection locked="0"/>
    </xf>
    <xf numFmtId="0" fontId="21" fillId="4" borderId="87" xfId="0" applyFont="1" applyFill="1" applyBorder="1" applyAlignment="1" applyProtection="1">
      <alignment horizontal="right" vertical="center" wrapText="1"/>
      <protection locked="0"/>
    </xf>
    <xf numFmtId="0" fontId="21" fillId="7" borderId="58" xfId="0" applyFont="1" applyFill="1" applyBorder="1" applyAlignment="1" applyProtection="1">
      <alignment horizontal="left" vertical="top" wrapText="1"/>
      <protection locked="0"/>
    </xf>
    <xf numFmtId="0" fontId="21" fillId="7" borderId="45" xfId="0" applyFont="1" applyFill="1" applyBorder="1" applyAlignment="1" applyProtection="1">
      <alignment horizontal="left" vertical="top" wrapText="1"/>
      <protection locked="0"/>
    </xf>
    <xf numFmtId="0" fontId="21" fillId="7" borderId="59" xfId="0" applyFont="1" applyFill="1" applyBorder="1" applyAlignment="1" applyProtection="1">
      <alignment horizontal="left" vertical="top" wrapText="1"/>
      <protection locked="0"/>
    </xf>
    <xf numFmtId="0" fontId="14" fillId="18" borderId="79" xfId="0" applyFont="1" applyFill="1" applyBorder="1" applyAlignment="1" applyProtection="1">
      <alignment horizontal="center" vertical="center"/>
      <protection locked="0"/>
    </xf>
    <xf numFmtId="0" fontId="14" fillId="18" borderId="80" xfId="0" applyFont="1" applyFill="1" applyBorder="1" applyAlignment="1" applyProtection="1">
      <alignment horizontal="center" vertical="center"/>
      <protection locked="0"/>
    </xf>
    <xf numFmtId="0" fontId="14" fillId="18" borderId="81" xfId="0" applyFont="1" applyFill="1" applyBorder="1" applyAlignment="1" applyProtection="1">
      <alignment horizontal="center" vertical="center"/>
      <protection locked="0"/>
    </xf>
    <xf numFmtId="0" fontId="21" fillId="4" borderId="44" xfId="0" applyFont="1" applyFill="1" applyBorder="1" applyAlignment="1" applyProtection="1">
      <alignment horizontal="right" vertical="center" wrapText="1"/>
      <protection locked="0"/>
    </xf>
    <xf numFmtId="0" fontId="21" fillId="4" borderId="47" xfId="0" applyFont="1" applyFill="1" applyBorder="1" applyAlignment="1" applyProtection="1">
      <alignment horizontal="right" vertical="center" wrapText="1"/>
      <protection locked="0"/>
    </xf>
    <xf numFmtId="0" fontId="1" fillId="4" borderId="48" xfId="0" applyFont="1" applyFill="1" applyBorder="1" applyAlignment="1" applyProtection="1">
      <alignment horizontal="center" vertical="top" wrapText="1"/>
      <protection locked="0"/>
    </xf>
    <xf numFmtId="0" fontId="14" fillId="58" borderId="0" xfId="0" applyFont="1" applyFill="1" applyAlignment="1">
      <alignment horizontal="center" vertical="center" wrapText="1"/>
    </xf>
    <xf numFmtId="0" fontId="14" fillId="18" borderId="68" xfId="0" applyFont="1" applyFill="1" applyBorder="1" applyAlignment="1" applyProtection="1">
      <alignment horizontal="center" vertical="center"/>
      <protection locked="0"/>
    </xf>
    <xf numFmtId="0" fontId="14" fillId="18" borderId="69" xfId="0" applyFont="1" applyFill="1" applyBorder="1" applyAlignment="1" applyProtection="1">
      <alignment horizontal="center" vertical="center"/>
      <protection locked="0"/>
    </xf>
    <xf numFmtId="0" fontId="14" fillId="18" borderId="70" xfId="0"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wrapText="1"/>
      <protection locked="0"/>
    </xf>
    <xf numFmtId="0" fontId="37" fillId="9" borderId="52"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4" fillId="11" borderId="13" xfId="0" applyFont="1" applyFill="1" applyBorder="1" applyAlignment="1" applyProtection="1">
      <alignment horizontal="center" vertical="center" wrapText="1"/>
      <protection locked="0"/>
    </xf>
    <xf numFmtId="0" fontId="14" fillId="18" borderId="58" xfId="0" applyFont="1" applyFill="1" applyBorder="1" applyAlignment="1">
      <alignment horizontal="center" vertical="center"/>
    </xf>
    <xf numFmtId="0" fontId="14" fillId="18" borderId="45" xfId="0" applyFont="1" applyFill="1" applyBorder="1" applyAlignment="1">
      <alignment horizontal="center" vertical="center"/>
    </xf>
    <xf numFmtId="0" fontId="14" fillId="18" borderId="59" xfId="0" applyFont="1" applyFill="1" applyBorder="1" applyAlignment="1">
      <alignment horizontal="center" vertical="center"/>
    </xf>
    <xf numFmtId="0" fontId="5" fillId="4" borderId="13" xfId="0" applyFont="1" applyFill="1" applyBorder="1" applyAlignment="1" applyProtection="1">
      <alignment horizontal="center" vertical="center" wrapText="1"/>
      <protection locked="0"/>
    </xf>
    <xf numFmtId="0" fontId="33" fillId="6" borderId="13" xfId="0" applyFont="1" applyFill="1" applyBorder="1" applyAlignment="1">
      <alignment horizontal="center" vertical="center" wrapText="1"/>
    </xf>
    <xf numFmtId="0" fontId="39" fillId="4" borderId="13" xfId="0" applyFont="1" applyFill="1" applyBorder="1" applyAlignment="1" applyProtection="1">
      <alignment horizontal="right" vertical="center" wrapText="1"/>
      <protection locked="0"/>
    </xf>
    <xf numFmtId="0" fontId="39" fillId="4" borderId="44" xfId="0" applyFont="1" applyFill="1" applyBorder="1" applyAlignment="1" applyProtection="1">
      <alignment horizontal="right" vertical="center" wrapText="1"/>
      <protection locked="0"/>
    </xf>
    <xf numFmtId="0" fontId="40" fillId="4" borderId="13" xfId="0" applyFont="1" applyFill="1" applyBorder="1" applyAlignment="1" applyProtection="1">
      <alignment horizontal="right" vertical="center" wrapText="1"/>
      <protection locked="0"/>
    </xf>
    <xf numFmtId="0" fontId="0" fillId="0" borderId="44" xfId="0" applyBorder="1" applyAlignment="1" applyProtection="1">
      <alignment horizontal="right" vertical="center" wrapText="1"/>
      <protection locked="0"/>
    </xf>
    <xf numFmtId="0" fontId="37" fillId="9" borderId="51" xfId="0" applyFont="1" applyFill="1" applyBorder="1" applyAlignment="1">
      <alignment horizontal="center" vertical="center" wrapText="1"/>
    </xf>
    <xf numFmtId="0" fontId="0" fillId="0" borderId="51" xfId="0" applyBorder="1">
      <alignment vertical="center"/>
    </xf>
    <xf numFmtId="0" fontId="43" fillId="12" borderId="13" xfId="0" applyFont="1" applyFill="1" applyBorder="1" applyAlignment="1">
      <alignment horizontal="center" vertical="center" wrapText="1"/>
    </xf>
    <xf numFmtId="0" fontId="14" fillId="9" borderId="13" xfId="0" applyFont="1" applyFill="1" applyBorder="1" applyAlignment="1">
      <alignment horizontal="center" vertical="center" wrapText="1"/>
    </xf>
    <xf numFmtId="0" fontId="14" fillId="9" borderId="50" xfId="0" applyFont="1" applyFill="1" applyBorder="1" applyAlignment="1">
      <alignment horizontal="center" vertical="center" wrapText="1"/>
    </xf>
    <xf numFmtId="0" fontId="14" fillId="9" borderId="52" xfId="0" applyFont="1" applyFill="1" applyBorder="1" applyAlignment="1">
      <alignment horizontal="center" vertical="center" wrapText="1"/>
    </xf>
    <xf numFmtId="49" fontId="1" fillId="4" borderId="13" xfId="0" applyNumberFormat="1" applyFont="1" applyFill="1" applyBorder="1" applyAlignment="1" applyProtection="1">
      <alignment horizontal="center" vertical="center"/>
      <protection locked="0"/>
    </xf>
    <xf numFmtId="0" fontId="34" fillId="12" borderId="13" xfId="0" applyFont="1" applyFill="1" applyBorder="1" applyAlignment="1">
      <alignment horizontal="center" vertical="center" wrapText="1"/>
    </xf>
    <xf numFmtId="0" fontId="97" fillId="2" borderId="45" xfId="0" applyFont="1" applyFill="1" applyBorder="1" applyAlignment="1">
      <alignment horizontal="left" wrapText="1"/>
    </xf>
    <xf numFmtId="0" fontId="94" fillId="4" borderId="83" xfId="0" applyFont="1" applyFill="1" applyBorder="1" applyAlignment="1" applyProtection="1">
      <alignment horizontal="center" vertical="center"/>
      <protection locked="0"/>
    </xf>
    <xf numFmtId="0" fontId="21" fillId="4" borderId="83" xfId="0" applyFont="1" applyFill="1" applyBorder="1" applyAlignment="1" applyProtection="1">
      <alignment horizontal="center" vertical="center" wrapText="1"/>
      <protection locked="0"/>
    </xf>
    <xf numFmtId="0" fontId="21" fillId="4" borderId="85" xfId="0" applyFont="1" applyFill="1" applyBorder="1" applyAlignment="1" applyProtection="1">
      <alignment horizontal="center" vertical="center" wrapText="1"/>
      <protection locked="0"/>
    </xf>
    <xf numFmtId="0" fontId="94" fillId="7" borderId="13" xfId="0" applyFont="1" applyFill="1" applyBorder="1" applyAlignment="1" applyProtection="1">
      <alignment horizontal="center" vertical="center"/>
      <protection locked="0"/>
    </xf>
    <xf numFmtId="0" fontId="94" fillId="4" borderId="13" xfId="0" applyFont="1" applyFill="1" applyBorder="1" applyAlignment="1" applyProtection="1">
      <alignment horizontal="center" vertical="center"/>
      <protection locked="0"/>
    </xf>
    <xf numFmtId="0" fontId="14" fillId="18" borderId="50" xfId="0" applyFont="1" applyFill="1" applyBorder="1" applyAlignment="1">
      <alignment horizontal="center" vertical="center" wrapText="1"/>
    </xf>
    <xf numFmtId="0" fontId="36" fillId="43" borderId="13" xfId="0" applyFont="1" applyFill="1" applyBorder="1" applyAlignment="1">
      <alignment horizontal="center" vertical="center" wrapText="1"/>
    </xf>
    <xf numFmtId="0" fontId="21" fillId="7" borderId="13" xfId="0" applyFont="1" applyFill="1" applyBorder="1" applyAlignment="1" applyProtection="1">
      <alignment horizontal="center" vertical="center" wrapText="1"/>
      <protection locked="0"/>
    </xf>
    <xf numFmtId="0" fontId="21" fillId="7" borderId="44" xfId="0" applyFont="1" applyFill="1" applyBorder="1" applyAlignment="1" applyProtection="1">
      <alignment horizontal="center" vertical="center" wrapText="1"/>
      <protection locked="0"/>
    </xf>
    <xf numFmtId="0" fontId="5" fillId="7" borderId="13" xfId="0" applyFont="1" applyFill="1" applyBorder="1" applyAlignment="1" applyProtection="1">
      <alignment horizontal="center" vertical="center" wrapText="1"/>
      <protection locked="0"/>
    </xf>
    <xf numFmtId="0" fontId="1" fillId="7" borderId="13" xfId="0" applyFont="1" applyFill="1" applyBorder="1" applyAlignment="1" applyProtection="1">
      <alignment horizontal="center" vertical="center" wrapText="1"/>
      <protection locked="0"/>
    </xf>
    <xf numFmtId="0" fontId="74" fillId="54" borderId="0" xfId="0" applyFont="1" applyFill="1" applyAlignment="1" applyProtection="1">
      <alignment horizontal="center" vertical="center"/>
      <protection locked="0"/>
    </xf>
    <xf numFmtId="0" fontId="74" fillId="29" borderId="0" xfId="0" applyFont="1" applyFill="1" applyAlignment="1" applyProtection="1">
      <alignment horizontal="center" vertical="center" wrapText="1"/>
      <protection locked="0"/>
    </xf>
    <xf numFmtId="0" fontId="44" fillId="11" borderId="13" xfId="0" applyFont="1" applyFill="1" applyBorder="1" applyAlignment="1">
      <alignment horizontal="center" vertical="center" wrapText="1"/>
    </xf>
    <xf numFmtId="0" fontId="74" fillId="29" borderId="0" xfId="0" applyFont="1" applyFill="1" applyAlignment="1" applyProtection="1">
      <alignment horizontal="center" vertical="center"/>
      <protection locked="0"/>
    </xf>
    <xf numFmtId="0" fontId="37" fillId="9" borderId="50" xfId="0" applyFont="1" applyFill="1" applyBorder="1" applyAlignment="1">
      <alignment horizontal="center" vertical="center" wrapText="1"/>
    </xf>
    <xf numFmtId="0" fontId="39" fillId="4" borderId="48" xfId="0" applyFont="1" applyFill="1" applyBorder="1" applyAlignment="1">
      <alignment horizontal="left" vertical="center" wrapText="1"/>
    </xf>
    <xf numFmtId="0" fontId="39" fillId="4" borderId="13"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4" fillId="9" borderId="51" xfId="0" applyFont="1" applyFill="1" applyBorder="1" applyAlignment="1">
      <alignment horizontal="center" vertical="center" wrapText="1"/>
    </xf>
    <xf numFmtId="0" fontId="14" fillId="9" borderId="50" xfId="0" applyFont="1" applyFill="1" applyBorder="1" applyAlignment="1">
      <alignment horizontal="center" vertical="center"/>
    </xf>
    <xf numFmtId="0" fontId="21" fillId="7" borderId="58" xfId="0" applyFont="1" applyFill="1" applyBorder="1" applyAlignment="1" applyProtection="1">
      <alignment horizontal="right" vertical="center" wrapText="1"/>
      <protection locked="0"/>
    </xf>
    <xf numFmtId="0" fontId="21" fillId="7" borderId="45" xfId="0" applyFont="1" applyFill="1" applyBorder="1" applyAlignment="1" applyProtection="1">
      <alignment horizontal="right" vertical="center" wrapText="1"/>
      <protection locked="0"/>
    </xf>
    <xf numFmtId="0" fontId="21" fillId="7" borderId="47" xfId="0" applyFont="1" applyFill="1" applyBorder="1" applyAlignment="1" applyProtection="1">
      <alignment horizontal="center" vertical="center" wrapText="1"/>
      <protection locked="0"/>
    </xf>
    <xf numFmtId="0" fontId="21" fillId="7" borderId="48" xfId="0" applyFont="1" applyFill="1" applyBorder="1" applyAlignment="1" applyProtection="1">
      <alignment horizontal="center" vertical="center" wrapText="1"/>
      <protection locked="0"/>
    </xf>
    <xf numFmtId="0" fontId="21" fillId="4" borderId="13" xfId="0" applyFont="1" applyFill="1" applyBorder="1" applyAlignment="1" applyProtection="1">
      <alignment horizontal="left" vertical="center" wrapText="1" indent="1"/>
      <protection locked="0"/>
    </xf>
    <xf numFmtId="0" fontId="21" fillId="7" borderId="44" xfId="0" applyFont="1" applyFill="1" applyBorder="1" applyAlignment="1" applyProtection="1">
      <alignment horizontal="left" vertical="top" wrapText="1"/>
      <protection locked="0"/>
    </xf>
    <xf numFmtId="0" fontId="21" fillId="7" borderId="47" xfId="0" applyFont="1" applyFill="1" applyBorder="1" applyAlignment="1" applyProtection="1">
      <alignment horizontal="left" vertical="top" wrapText="1"/>
      <protection locked="0"/>
    </xf>
    <xf numFmtId="0" fontId="21" fillId="7" borderId="48" xfId="0" applyFont="1" applyFill="1" applyBorder="1" applyAlignment="1" applyProtection="1">
      <alignment horizontal="left" vertical="top" wrapText="1"/>
      <protection locked="0"/>
    </xf>
    <xf numFmtId="0" fontId="21" fillId="4" borderId="44" xfId="0" applyFont="1" applyFill="1" applyBorder="1" applyAlignment="1" applyProtection="1">
      <alignment horizontal="left" vertical="top" wrapText="1"/>
      <protection locked="0"/>
    </xf>
    <xf numFmtId="0" fontId="21" fillId="4" borderId="47" xfId="0" applyFont="1" applyFill="1" applyBorder="1" applyAlignment="1" applyProtection="1">
      <alignment horizontal="left" vertical="top" wrapText="1"/>
      <protection locked="0"/>
    </xf>
    <xf numFmtId="0" fontId="21" fillId="4" borderId="48" xfId="0" applyFont="1" applyFill="1" applyBorder="1" applyAlignment="1" applyProtection="1">
      <alignment horizontal="left" vertical="top" wrapText="1"/>
      <protection locked="0"/>
    </xf>
    <xf numFmtId="0" fontId="21" fillId="4" borderId="85" xfId="0" applyFont="1" applyFill="1" applyBorder="1" applyAlignment="1" applyProtection="1">
      <alignment horizontal="left" vertical="top" wrapText="1"/>
      <protection locked="0"/>
    </xf>
    <xf numFmtId="0" fontId="21" fillId="4" borderId="87" xfId="0" applyFont="1" applyFill="1" applyBorder="1" applyAlignment="1" applyProtection="1">
      <alignment horizontal="left" vertical="top" wrapText="1"/>
      <protection locked="0"/>
    </xf>
    <xf numFmtId="0" fontId="21" fillId="4" borderId="88" xfId="0" applyFont="1" applyFill="1" applyBorder="1" applyAlignment="1" applyProtection="1">
      <alignment horizontal="left" vertical="top" wrapText="1"/>
      <protection locked="0"/>
    </xf>
    <xf numFmtId="0" fontId="97" fillId="2" borderId="0" xfId="0" applyFont="1" applyFill="1" applyAlignment="1">
      <alignment horizontal="right" wrapText="1"/>
    </xf>
    <xf numFmtId="0" fontId="5" fillId="4" borderId="44" xfId="0" applyFont="1" applyFill="1" applyBorder="1" applyAlignment="1" applyProtection="1">
      <alignment horizontal="center" vertical="center" wrapText="1"/>
      <protection locked="0"/>
    </xf>
    <xf numFmtId="0" fontId="5" fillId="4" borderId="47" xfId="0" applyFont="1" applyFill="1" applyBorder="1" applyAlignment="1" applyProtection="1">
      <alignment horizontal="center" vertical="center" wrapText="1"/>
      <protection locked="0"/>
    </xf>
    <xf numFmtId="0" fontId="5" fillId="4" borderId="48" xfId="0" applyFont="1" applyFill="1" applyBorder="1" applyAlignment="1" applyProtection="1">
      <alignment horizontal="center" vertical="center" wrapText="1"/>
      <protection locked="0"/>
    </xf>
    <xf numFmtId="0" fontId="14" fillId="18" borderId="50" xfId="0" applyFont="1" applyFill="1" applyBorder="1" applyAlignment="1" applyProtection="1">
      <alignment horizontal="center" vertical="center"/>
      <protection locked="0"/>
    </xf>
    <xf numFmtId="0" fontId="1" fillId="7" borderId="48" xfId="0" applyFont="1" applyFill="1" applyBorder="1" applyAlignment="1" applyProtection="1">
      <alignment horizontal="center" vertical="top" wrapText="1"/>
      <protection locked="0"/>
    </xf>
    <xf numFmtId="0" fontId="21" fillId="4" borderId="87" xfId="0" applyFont="1" applyFill="1" applyBorder="1" applyAlignment="1" applyProtection="1">
      <alignment horizontal="center" vertical="center" wrapText="1"/>
      <protection locked="0"/>
    </xf>
    <xf numFmtId="0" fontId="21" fillId="4" borderId="88" xfId="0" applyFont="1" applyFill="1" applyBorder="1" applyAlignment="1" applyProtection="1">
      <alignment horizontal="center" vertical="center" wrapText="1"/>
      <protection locked="0"/>
    </xf>
    <xf numFmtId="0" fontId="94" fillId="7" borderId="66" xfId="0" applyFont="1" applyFill="1" applyBorder="1" applyAlignment="1" applyProtection="1">
      <alignment horizontal="center" vertical="center"/>
      <protection locked="0"/>
    </xf>
    <xf numFmtId="0" fontId="14" fillId="9" borderId="51" xfId="0" applyFont="1" applyFill="1" applyBorder="1" applyAlignment="1">
      <alignment horizontal="center" vertical="center"/>
    </xf>
    <xf numFmtId="0" fontId="46" fillId="7" borderId="44" xfId="0" applyFont="1" applyFill="1" applyBorder="1" applyAlignment="1" applyProtection="1">
      <alignment horizontal="center" vertical="center" wrapText="1"/>
      <protection locked="0"/>
    </xf>
    <xf numFmtId="0" fontId="46" fillId="7" borderId="47" xfId="0" applyFont="1" applyFill="1" applyBorder="1" applyAlignment="1" applyProtection="1">
      <alignment horizontal="center" vertical="center" wrapText="1"/>
      <protection locked="0"/>
    </xf>
    <xf numFmtId="0" fontId="94" fillId="7" borderId="44" xfId="0" applyFont="1" applyFill="1" applyBorder="1" applyAlignment="1" applyProtection="1">
      <alignment horizontal="center" vertical="center"/>
      <protection locked="0"/>
    </xf>
    <xf numFmtId="0" fontId="21" fillId="7" borderId="44" xfId="0" applyFont="1" applyFill="1" applyBorder="1" applyAlignment="1" applyProtection="1">
      <alignment horizontal="center" vertical="center"/>
      <protection locked="0"/>
    </xf>
    <xf numFmtId="0" fontId="21" fillId="7" borderId="47" xfId="0" applyFont="1" applyFill="1" applyBorder="1" applyAlignment="1" applyProtection="1">
      <alignment horizontal="center" vertical="center"/>
      <protection locked="0"/>
    </xf>
    <xf numFmtId="0" fontId="21" fillId="7" borderId="48" xfId="0" applyFont="1" applyFill="1" applyBorder="1" applyAlignment="1" applyProtection="1">
      <alignment horizontal="center" vertical="center"/>
      <protection locked="0"/>
    </xf>
    <xf numFmtId="0" fontId="14" fillId="18" borderId="44" xfId="0" applyFont="1" applyFill="1" applyBorder="1" applyAlignment="1">
      <alignment horizontal="center" vertical="center" wrapText="1"/>
    </xf>
    <xf numFmtId="0" fontId="14" fillId="18" borderId="53" xfId="0" applyFont="1" applyFill="1" applyBorder="1" applyAlignment="1">
      <alignment horizontal="center" vertical="center" wrapText="1"/>
    </xf>
    <xf numFmtId="0" fontId="14" fillId="18" borderId="54" xfId="0" applyFont="1" applyFill="1" applyBorder="1" applyAlignment="1">
      <alignment horizontal="center" vertical="center" wrapText="1"/>
    </xf>
    <xf numFmtId="177" fontId="1" fillId="7" borderId="13" xfId="0" applyNumberFormat="1" applyFont="1" applyFill="1" applyBorder="1" applyAlignment="1">
      <alignment horizontal="center" vertical="center" wrapText="1"/>
    </xf>
    <xf numFmtId="177" fontId="45" fillId="4" borderId="13" xfId="0" applyNumberFormat="1" applyFont="1" applyFill="1" applyBorder="1" applyAlignment="1">
      <alignment horizontal="center" vertical="center" wrapText="1"/>
    </xf>
    <xf numFmtId="0" fontId="45" fillId="4" borderId="13" xfId="0" applyFont="1" applyFill="1" applyBorder="1" applyAlignment="1">
      <alignment horizontal="center" vertical="center" wrapText="1"/>
    </xf>
    <xf numFmtId="0" fontId="100" fillId="2" borderId="0" xfId="0" applyFont="1" applyFill="1" applyAlignment="1">
      <alignment horizontal="center" vertical="center" wrapText="1"/>
    </xf>
    <xf numFmtId="0" fontId="46" fillId="4" borderId="44" xfId="0" applyFont="1" applyFill="1" applyBorder="1" applyAlignment="1" applyProtection="1">
      <alignment horizontal="center" vertical="center" wrapText="1"/>
      <protection locked="0"/>
    </xf>
    <xf numFmtId="0" fontId="46" fillId="4" borderId="47" xfId="0" applyFont="1" applyFill="1" applyBorder="1" applyAlignment="1" applyProtection="1">
      <alignment horizontal="center" vertical="center" wrapText="1"/>
      <protection locked="0"/>
    </xf>
    <xf numFmtId="0" fontId="21" fillId="4" borderId="44" xfId="0" applyFont="1" applyFill="1" applyBorder="1" applyAlignment="1" applyProtection="1">
      <alignment horizontal="left" vertical="top"/>
      <protection locked="0"/>
    </xf>
    <xf numFmtId="0" fontId="21" fillId="4" borderId="47" xfId="0" applyFont="1" applyFill="1" applyBorder="1" applyAlignment="1" applyProtection="1">
      <alignment horizontal="left" vertical="top"/>
      <protection locked="0"/>
    </xf>
    <xf numFmtId="0" fontId="21" fillId="4" borderId="48" xfId="0" applyFont="1" applyFill="1" applyBorder="1" applyAlignment="1" applyProtection="1">
      <alignment horizontal="left" vertical="top"/>
      <protection locked="0"/>
    </xf>
    <xf numFmtId="0" fontId="40" fillId="4" borderId="44" xfId="0" applyFont="1" applyFill="1" applyBorder="1" applyAlignment="1" applyProtection="1">
      <alignment horizontal="center" vertical="center" wrapText="1"/>
      <protection locked="0"/>
    </xf>
    <xf numFmtId="0" fontId="40" fillId="4" borderId="47" xfId="0" applyFont="1" applyFill="1" applyBorder="1" applyAlignment="1" applyProtection="1">
      <alignment horizontal="center" vertical="center" wrapText="1"/>
      <protection locked="0"/>
    </xf>
    <xf numFmtId="0" fontId="40" fillId="4" borderId="48" xfId="0" applyFont="1" applyFill="1" applyBorder="1" applyAlignment="1" applyProtection="1">
      <alignment horizontal="center" vertical="center" wrapText="1"/>
      <protection locked="0"/>
    </xf>
    <xf numFmtId="0" fontId="4" fillId="4" borderId="13" xfId="0" applyFont="1" applyFill="1" applyBorder="1" applyAlignment="1" applyProtection="1">
      <alignment horizontal="left" vertical="center" wrapText="1"/>
      <protection locked="0"/>
    </xf>
    <xf numFmtId="0" fontId="4" fillId="7" borderId="13" xfId="0" applyFont="1" applyFill="1" applyBorder="1" applyAlignment="1" applyProtection="1">
      <alignment horizontal="left" vertical="center" wrapText="1"/>
      <protection locked="0"/>
    </xf>
    <xf numFmtId="0" fontId="4" fillId="4" borderId="47" xfId="0" applyFont="1" applyFill="1" applyBorder="1" applyAlignment="1" applyProtection="1">
      <alignment horizontal="left" vertical="center" wrapText="1"/>
      <protection locked="0"/>
    </xf>
    <xf numFmtId="0" fontId="21" fillId="7" borderId="89" xfId="0" applyFont="1" applyFill="1" applyBorder="1" applyAlignment="1" applyProtection="1">
      <alignment horizontal="center" vertical="center" wrapText="1"/>
      <protection locked="0"/>
    </xf>
    <xf numFmtId="0" fontId="21" fillId="4" borderId="74" xfId="0" applyFont="1" applyFill="1" applyBorder="1" applyAlignment="1" applyProtection="1">
      <alignment horizontal="center" vertical="center" wrapText="1"/>
      <protection locked="0"/>
    </xf>
    <xf numFmtId="0" fontId="21" fillId="4" borderId="82" xfId="0" applyFont="1" applyFill="1" applyBorder="1" applyAlignment="1" applyProtection="1">
      <alignment horizontal="left" vertical="top" wrapText="1"/>
      <protection locked="0"/>
    </xf>
    <xf numFmtId="0" fontId="21" fillId="7" borderId="74" xfId="0" applyFont="1" applyFill="1" applyBorder="1" applyAlignment="1" applyProtection="1">
      <alignment horizontal="center" vertical="center" wrapText="1"/>
      <protection locked="0"/>
    </xf>
    <xf numFmtId="0" fontId="21" fillId="7" borderId="82" xfId="0" applyFont="1" applyFill="1" applyBorder="1" applyAlignment="1" applyProtection="1">
      <alignment horizontal="left" vertical="top" wrapText="1"/>
      <protection locked="0"/>
    </xf>
    <xf numFmtId="0" fontId="1" fillId="4" borderId="55" xfId="0" applyFont="1" applyFill="1" applyBorder="1" applyAlignment="1" applyProtection="1">
      <alignment horizontal="center" vertical="center" wrapText="1"/>
      <protection locked="0"/>
    </xf>
    <xf numFmtId="0" fontId="1" fillId="4" borderId="56" xfId="0" applyFont="1" applyFill="1" applyBorder="1" applyAlignment="1" applyProtection="1">
      <alignment horizontal="center" vertical="center" wrapText="1"/>
      <protection locked="0"/>
    </xf>
    <xf numFmtId="0" fontId="1" fillId="4" borderId="57" xfId="0" applyFont="1" applyFill="1" applyBorder="1" applyAlignment="1" applyProtection="1">
      <alignment horizontal="center" vertical="center" wrapText="1"/>
      <protection locked="0"/>
    </xf>
    <xf numFmtId="0" fontId="1" fillId="4" borderId="60"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61" xfId="0" applyFont="1" applyFill="1" applyBorder="1" applyAlignment="1" applyProtection="1">
      <alignment horizontal="center" vertical="center" wrapText="1"/>
      <protection locked="0"/>
    </xf>
    <xf numFmtId="0" fontId="1" fillId="4" borderId="58" xfId="0" applyFont="1" applyFill="1" applyBorder="1" applyAlignment="1" applyProtection="1">
      <alignment horizontal="center" vertical="center" wrapText="1"/>
      <protection locked="0"/>
    </xf>
    <xf numFmtId="0" fontId="1" fillId="4" borderId="45" xfId="0" applyFont="1" applyFill="1" applyBorder="1" applyAlignment="1" applyProtection="1">
      <alignment horizontal="center" vertical="center" wrapText="1"/>
      <protection locked="0"/>
    </xf>
    <xf numFmtId="0" fontId="1" fillId="4" borderId="59" xfId="0" applyFont="1" applyFill="1" applyBorder="1" applyAlignment="1" applyProtection="1">
      <alignment horizontal="center" vertical="center" wrapText="1"/>
      <protection locked="0"/>
    </xf>
    <xf numFmtId="0" fontId="14" fillId="55" borderId="0" xfId="0" applyFont="1" applyFill="1" applyAlignment="1" applyProtection="1">
      <alignment horizontal="center" vertical="center" wrapText="1"/>
      <protection locked="0"/>
    </xf>
    <xf numFmtId="0" fontId="1" fillId="4" borderId="13" xfId="0" applyFont="1" applyFill="1" applyBorder="1" applyAlignment="1">
      <alignment horizontal="center" vertical="center"/>
    </xf>
    <xf numFmtId="0" fontId="95" fillId="54" borderId="0" xfId="0" applyFont="1" applyFill="1" applyAlignment="1">
      <alignment horizontal="center" vertical="center" wrapText="1"/>
    </xf>
    <xf numFmtId="0" fontId="95" fillId="29" borderId="0" xfId="0" applyFont="1" applyFill="1" applyAlignment="1" applyProtection="1">
      <alignment horizontal="center" vertical="center" wrapText="1"/>
      <protection locked="0"/>
    </xf>
    <xf numFmtId="0" fontId="21" fillId="4" borderId="13" xfId="0" applyFont="1" applyFill="1" applyBorder="1" applyAlignment="1">
      <alignment horizontal="left" vertical="top" wrapText="1"/>
    </xf>
    <xf numFmtId="0" fontId="10" fillId="4" borderId="13" xfId="0" applyFont="1" applyFill="1" applyBorder="1" applyAlignment="1">
      <alignment horizontal="center" vertical="center"/>
    </xf>
    <xf numFmtId="0" fontId="10" fillId="4" borderId="5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0" fillId="4" borderId="57"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4" fillId="55" borderId="13" xfId="0" applyFont="1" applyFill="1" applyBorder="1" applyAlignment="1">
      <alignment horizontal="center" vertical="center"/>
    </xf>
    <xf numFmtId="0" fontId="10" fillId="2" borderId="0" xfId="0" applyFont="1" applyFill="1" applyAlignment="1">
      <alignment horizontal="center"/>
    </xf>
    <xf numFmtId="0" fontId="4" fillId="4" borderId="48" xfId="0" applyFont="1" applyFill="1" applyBorder="1" applyAlignment="1" applyProtection="1">
      <alignment horizontal="center" vertical="center" wrapText="1"/>
      <protection locked="0"/>
    </xf>
    <xf numFmtId="0" fontId="5" fillId="4" borderId="44"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5" fillId="4" borderId="48" xfId="0" applyFont="1" applyFill="1" applyBorder="1" applyAlignment="1">
      <alignment horizontal="center" vertical="center" wrapText="1"/>
    </xf>
    <xf numFmtId="0" fontId="97" fillId="2" borderId="56" xfId="0" applyFont="1" applyFill="1" applyBorder="1" applyAlignment="1">
      <alignment horizontal="center" wrapText="1"/>
    </xf>
    <xf numFmtId="0" fontId="4" fillId="52" borderId="13" xfId="0" applyFont="1" applyFill="1" applyBorder="1" applyAlignment="1" applyProtection="1">
      <alignment horizontal="center" vertical="center" wrapText="1"/>
      <protection locked="0"/>
    </xf>
    <xf numFmtId="0" fontId="1" fillId="7" borderId="13" xfId="0" applyFont="1" applyFill="1" applyBorder="1" applyAlignment="1">
      <alignment horizontal="center" vertical="center"/>
    </xf>
    <xf numFmtId="0" fontId="84" fillId="4" borderId="13" xfId="0" applyFont="1" applyFill="1" applyBorder="1" applyAlignment="1">
      <alignment horizontal="center" vertical="center"/>
    </xf>
    <xf numFmtId="0" fontId="14" fillId="18" borderId="13" xfId="0" applyFont="1" applyFill="1" applyBorder="1" applyAlignment="1">
      <alignment horizontal="center" vertical="center"/>
    </xf>
    <xf numFmtId="0" fontId="14" fillId="18" borderId="44" xfId="0" applyFont="1" applyFill="1" applyBorder="1" applyAlignment="1">
      <alignment horizontal="center" vertical="center"/>
    </xf>
    <xf numFmtId="0" fontId="14" fillId="18" borderId="53" xfId="0" applyFont="1" applyFill="1" applyBorder="1" applyAlignment="1">
      <alignment horizontal="center" vertical="center"/>
    </xf>
    <xf numFmtId="0" fontId="14" fillId="18" borderId="54" xfId="0" applyFont="1" applyFill="1" applyBorder="1" applyAlignment="1">
      <alignment horizontal="center" vertical="center"/>
    </xf>
    <xf numFmtId="0" fontId="14" fillId="18" borderId="48" xfId="0" applyFont="1" applyFill="1" applyBorder="1" applyAlignment="1">
      <alignment horizontal="center" vertical="center"/>
    </xf>
    <xf numFmtId="0" fontId="14" fillId="18" borderId="13" xfId="0" applyFont="1" applyFill="1" applyBorder="1" applyAlignment="1" applyProtection="1">
      <alignment horizontal="center" vertical="center"/>
      <protection locked="0"/>
    </xf>
    <xf numFmtId="0" fontId="13" fillId="8" borderId="13" xfId="0" applyFont="1" applyFill="1" applyBorder="1" applyAlignment="1">
      <alignment horizontal="center" vertical="center" wrapText="1"/>
    </xf>
    <xf numFmtId="0" fontId="14" fillId="50" borderId="13" xfId="0" applyFont="1" applyFill="1" applyBorder="1" applyAlignment="1" applyProtection="1">
      <alignment horizontal="center" vertical="center" wrapText="1"/>
      <protection locked="0"/>
    </xf>
    <xf numFmtId="0" fontId="21" fillId="7" borderId="44" xfId="0" applyFont="1" applyFill="1" applyBorder="1" applyAlignment="1" applyProtection="1">
      <alignment horizontal="left" vertical="top"/>
      <protection locked="0"/>
    </xf>
    <xf numFmtId="0" fontId="21" fillId="7" borderId="47" xfId="0" applyFont="1" applyFill="1" applyBorder="1" applyAlignment="1" applyProtection="1">
      <alignment horizontal="left" vertical="top"/>
      <protection locked="0"/>
    </xf>
    <xf numFmtId="0" fontId="21" fillId="7" borderId="48" xfId="0" applyFont="1" applyFill="1" applyBorder="1" applyAlignment="1" applyProtection="1">
      <alignment horizontal="left" vertical="top"/>
      <protection locked="0"/>
    </xf>
    <xf numFmtId="0" fontId="21" fillId="4" borderId="63" xfId="0" applyFont="1" applyFill="1" applyBorder="1" applyAlignment="1" applyProtection="1">
      <alignment horizontal="center" vertical="center" wrapText="1"/>
      <protection locked="0"/>
    </xf>
    <xf numFmtId="0" fontId="21" fillId="7" borderId="44" xfId="0" applyFont="1" applyFill="1" applyBorder="1" applyAlignment="1" applyProtection="1">
      <alignment horizontal="right" vertical="center" wrapText="1"/>
      <protection locked="0"/>
    </xf>
    <xf numFmtId="0" fontId="21" fillId="7" borderId="47" xfId="0" applyFont="1" applyFill="1" applyBorder="1" applyAlignment="1" applyProtection="1">
      <alignment horizontal="right" vertical="center" wrapText="1"/>
      <protection locked="0"/>
    </xf>
    <xf numFmtId="0" fontId="40" fillId="4" borderId="48" xfId="0" applyFont="1" applyFill="1" applyBorder="1" applyAlignment="1">
      <alignment horizontal="left" vertical="center" wrapText="1"/>
    </xf>
    <xf numFmtId="0" fontId="0" fillId="0" borderId="13" xfId="0" applyBorder="1" applyAlignment="1">
      <alignment vertical="center" wrapText="1"/>
    </xf>
    <xf numFmtId="0" fontId="14" fillId="55" borderId="44" xfId="0" applyFont="1" applyFill="1" applyBorder="1" applyAlignment="1">
      <alignment horizontal="center" vertical="center" wrapText="1"/>
    </xf>
    <xf numFmtId="0" fontId="14" fillId="55" borderId="47" xfId="0" applyFont="1" applyFill="1" applyBorder="1" applyAlignment="1">
      <alignment horizontal="center" vertical="center" wrapText="1"/>
    </xf>
    <xf numFmtId="0" fontId="14" fillId="55" borderId="48" xfId="0" applyFont="1" applyFill="1" applyBorder="1" applyAlignment="1">
      <alignment horizontal="center" vertical="center" wrapText="1"/>
    </xf>
    <xf numFmtId="0" fontId="14" fillId="18" borderId="48" xfId="0" applyFont="1" applyFill="1" applyBorder="1" applyAlignment="1">
      <alignment horizontal="center" vertical="center" wrapText="1"/>
    </xf>
    <xf numFmtId="0" fontId="14" fillId="18" borderId="52" xfId="0" applyFont="1" applyFill="1" applyBorder="1" applyAlignment="1" applyProtection="1">
      <alignment horizontal="center" vertical="center"/>
      <protection locked="0"/>
    </xf>
    <xf numFmtId="0" fontId="14" fillId="18" borderId="51" xfId="0" applyFont="1" applyFill="1" applyBorder="1" applyAlignment="1" applyProtection="1">
      <alignment horizontal="center" vertical="center"/>
      <protection locked="0"/>
    </xf>
    <xf numFmtId="0" fontId="14" fillId="18" borderId="50"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left" vertical="top" wrapText="1"/>
      <protection locked="0"/>
    </xf>
    <xf numFmtId="0" fontId="14" fillId="18" borderId="51" xfId="0" applyFont="1" applyFill="1" applyBorder="1" applyAlignment="1" applyProtection="1">
      <alignment horizontal="center" vertical="center" wrapText="1"/>
      <protection locked="0"/>
    </xf>
    <xf numFmtId="0" fontId="1" fillId="7" borderId="13" xfId="0" applyFont="1" applyFill="1" applyBorder="1" applyAlignment="1" applyProtection="1">
      <alignment horizontal="left" vertical="top" wrapText="1"/>
      <protection locked="0"/>
    </xf>
    <xf numFmtId="0" fontId="14" fillId="18" borderId="67" xfId="0" applyFont="1" applyFill="1" applyBorder="1" applyAlignment="1" applyProtection="1">
      <alignment horizontal="center" vertical="center" wrapText="1"/>
      <protection locked="0"/>
    </xf>
    <xf numFmtId="0" fontId="14" fillId="18" borderId="13" xfId="0" applyFont="1" applyFill="1" applyBorder="1" applyAlignment="1" applyProtection="1">
      <alignment horizontal="center" vertical="center" wrapText="1"/>
      <protection locked="0"/>
    </xf>
    <xf numFmtId="0" fontId="14" fillId="18" borderId="52" xfId="0" applyFont="1" applyFill="1" applyBorder="1" applyAlignment="1" applyProtection="1">
      <alignment horizontal="center" vertical="center" wrapText="1"/>
      <protection locked="0"/>
    </xf>
    <xf numFmtId="0" fontId="14" fillId="18" borderId="44" xfId="0" applyFont="1" applyFill="1" applyBorder="1" applyAlignment="1" applyProtection="1">
      <alignment horizontal="center" vertical="center"/>
      <protection locked="0"/>
    </xf>
    <xf numFmtId="0" fontId="14" fillId="18" borderId="47" xfId="0" applyFont="1" applyFill="1" applyBorder="1" applyAlignment="1" applyProtection="1">
      <alignment horizontal="center" vertical="center"/>
      <protection locked="0"/>
    </xf>
    <xf numFmtId="0" fontId="14" fillId="18" borderId="48" xfId="0" applyFont="1" applyFill="1" applyBorder="1" applyAlignment="1" applyProtection="1">
      <alignment horizontal="center" vertical="center"/>
      <protection locked="0"/>
    </xf>
    <xf numFmtId="0" fontId="14" fillId="18" borderId="65" xfId="0" applyFont="1" applyFill="1" applyBorder="1" applyAlignment="1" applyProtection="1">
      <alignment horizontal="center" vertical="center"/>
      <protection locked="0"/>
    </xf>
    <xf numFmtId="0" fontId="1" fillId="4" borderId="63" xfId="0" applyFont="1" applyFill="1" applyBorder="1" applyAlignment="1" applyProtection="1">
      <alignment horizontal="left" vertical="top" wrapText="1"/>
      <protection locked="0"/>
    </xf>
    <xf numFmtId="0" fontId="1" fillId="4" borderId="65" xfId="0" applyFont="1" applyFill="1" applyBorder="1" applyAlignment="1" applyProtection="1">
      <alignment horizontal="left" vertical="top" wrapText="1"/>
      <protection locked="0"/>
    </xf>
    <xf numFmtId="0" fontId="1" fillId="4" borderId="66" xfId="0" applyFont="1" applyFill="1" applyBorder="1" applyAlignment="1" applyProtection="1">
      <alignment horizontal="left" vertical="top" wrapText="1"/>
      <protection locked="0"/>
    </xf>
    <xf numFmtId="0" fontId="90" fillId="18" borderId="63" xfId="0" applyFont="1" applyFill="1" applyBorder="1" applyAlignment="1" applyProtection="1">
      <alignment horizontal="center" vertical="center" wrapText="1"/>
      <protection locked="0"/>
    </xf>
    <xf numFmtId="0" fontId="90" fillId="18" borderId="65" xfId="0" applyFont="1" applyFill="1" applyBorder="1" applyAlignment="1" applyProtection="1">
      <alignment horizontal="center" vertical="center" wrapText="1"/>
      <protection locked="0"/>
    </xf>
    <xf numFmtId="0" fontId="90" fillId="18" borderId="66" xfId="0" applyFont="1" applyFill="1" applyBorder="1" applyAlignment="1" applyProtection="1">
      <alignment horizontal="center" vertical="center" wrapText="1"/>
      <protection locked="0"/>
    </xf>
    <xf numFmtId="0" fontId="14" fillId="18" borderId="66" xfId="0" applyFont="1" applyFill="1" applyBorder="1" applyAlignment="1" applyProtection="1">
      <alignment horizontal="center" vertical="center" wrapText="1"/>
      <protection locked="0"/>
    </xf>
    <xf numFmtId="0" fontId="5" fillId="7" borderId="13" xfId="0" applyFont="1" applyFill="1" applyBorder="1" applyAlignment="1" applyProtection="1">
      <alignment horizontal="left" vertical="center" wrapText="1"/>
      <protection locked="0"/>
    </xf>
    <xf numFmtId="0" fontId="1" fillId="4" borderId="44" xfId="0" applyFont="1" applyFill="1" applyBorder="1" applyAlignment="1" applyProtection="1">
      <alignment horizontal="center" vertical="center" wrapText="1"/>
      <protection locked="0"/>
    </xf>
    <xf numFmtId="0" fontId="1" fillId="4" borderId="47" xfId="0" applyFont="1" applyFill="1" applyBorder="1" applyAlignment="1" applyProtection="1">
      <alignment horizontal="center" vertical="center" wrapText="1"/>
      <protection locked="0"/>
    </xf>
    <xf numFmtId="0" fontId="1" fillId="4" borderId="48" xfId="0" applyFont="1" applyFill="1" applyBorder="1" applyAlignment="1" applyProtection="1">
      <alignment horizontal="center" vertical="center" wrapText="1"/>
      <protection locked="0"/>
    </xf>
    <xf numFmtId="0" fontId="1" fillId="4" borderId="55" xfId="0" applyFont="1" applyFill="1" applyBorder="1" applyAlignment="1" applyProtection="1">
      <alignment horizontal="left" vertical="top" wrapText="1"/>
      <protection locked="0"/>
    </xf>
    <xf numFmtId="0" fontId="1" fillId="4" borderId="56" xfId="0" applyFont="1" applyFill="1" applyBorder="1" applyAlignment="1" applyProtection="1">
      <alignment horizontal="left" vertical="top" wrapText="1"/>
      <protection locked="0"/>
    </xf>
    <xf numFmtId="0" fontId="1" fillId="4" borderId="57" xfId="0" applyFont="1" applyFill="1" applyBorder="1" applyAlignment="1" applyProtection="1">
      <alignment horizontal="left" vertical="top" wrapText="1"/>
      <protection locked="0"/>
    </xf>
    <xf numFmtId="0" fontId="1" fillId="4" borderId="60"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61" xfId="0" applyFont="1" applyFill="1" applyBorder="1" applyAlignment="1" applyProtection="1">
      <alignment horizontal="left" vertical="top" wrapText="1"/>
      <protection locked="0"/>
    </xf>
    <xf numFmtId="0" fontId="1" fillId="4" borderId="58" xfId="0" applyFont="1" applyFill="1" applyBorder="1" applyAlignment="1" applyProtection="1">
      <alignment horizontal="left" vertical="top" wrapText="1"/>
      <protection locked="0"/>
    </xf>
    <xf numFmtId="0" fontId="1" fillId="4" borderId="45" xfId="0" applyFont="1" applyFill="1" applyBorder="1" applyAlignment="1" applyProtection="1">
      <alignment horizontal="left" vertical="top" wrapText="1"/>
      <protection locked="0"/>
    </xf>
    <xf numFmtId="0" fontId="1" fillId="4" borderId="59" xfId="0" applyFont="1" applyFill="1" applyBorder="1" applyAlignment="1" applyProtection="1">
      <alignment horizontal="left" vertical="top" wrapText="1"/>
      <protection locked="0"/>
    </xf>
    <xf numFmtId="0" fontId="5" fillId="4" borderId="68" xfId="0" applyFont="1" applyFill="1" applyBorder="1" applyAlignment="1" applyProtection="1">
      <alignment horizontal="center" vertical="center" wrapText="1"/>
      <protection locked="0"/>
    </xf>
    <xf numFmtId="0" fontId="5" fillId="4" borderId="69" xfId="0" applyFont="1" applyFill="1" applyBorder="1" applyAlignment="1" applyProtection="1">
      <alignment horizontal="center" vertical="center" wrapText="1"/>
      <protection locked="0"/>
    </xf>
    <xf numFmtId="0" fontId="5" fillId="4" borderId="70" xfId="0" applyFont="1" applyFill="1" applyBorder="1" applyAlignment="1" applyProtection="1">
      <alignment horizontal="center" vertical="center" wrapText="1"/>
      <protection locked="0"/>
    </xf>
    <xf numFmtId="0" fontId="14" fillId="18" borderId="64"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top" wrapText="1"/>
      <protection locked="0"/>
    </xf>
    <xf numFmtId="177" fontId="21" fillId="4" borderId="83" xfId="0" applyNumberFormat="1" applyFont="1" applyFill="1" applyBorder="1" applyAlignment="1" applyProtection="1">
      <alignment horizontal="center" vertical="center" wrapText="1"/>
      <protection locked="0"/>
    </xf>
    <xf numFmtId="177" fontId="21" fillId="4" borderId="13" xfId="0" applyNumberFormat="1" applyFont="1" applyFill="1" applyBorder="1" applyAlignment="1" applyProtection="1">
      <alignment horizontal="center" vertical="center" wrapText="1"/>
      <protection locked="0"/>
    </xf>
    <xf numFmtId="177" fontId="21" fillId="7" borderId="66" xfId="0" applyNumberFormat="1" applyFont="1" applyFill="1" applyBorder="1" applyAlignment="1" applyProtection="1">
      <alignment horizontal="center" vertical="center" wrapText="1"/>
      <protection locked="0"/>
    </xf>
    <xf numFmtId="177" fontId="21" fillId="7" borderId="13" xfId="0" applyNumberFormat="1" applyFont="1" applyFill="1" applyBorder="1" applyAlignment="1" applyProtection="1">
      <alignment horizontal="center" vertical="center" wrapText="1"/>
      <protection locked="0"/>
    </xf>
    <xf numFmtId="0" fontId="21" fillId="0" borderId="0" xfId="0" applyFont="1" applyAlignment="1">
      <alignment horizontal="center" vertical="center"/>
    </xf>
    <xf numFmtId="0" fontId="21" fillId="0" borderId="1" xfId="0" applyFont="1" applyBorder="1" applyAlignment="1">
      <alignment horizontal="center" vertical="center"/>
    </xf>
    <xf numFmtId="0" fontId="14" fillId="55" borderId="13" xfId="0" applyFont="1" applyFill="1" applyBorder="1" applyAlignment="1" applyProtection="1">
      <alignment horizontal="center" vertical="center" wrapText="1"/>
      <protection locked="0"/>
    </xf>
    <xf numFmtId="0" fontId="50" fillId="0" borderId="39" xfId="0" applyFont="1" applyBorder="1" applyAlignment="1">
      <alignment horizontal="center" vertical="center" wrapText="1"/>
    </xf>
    <xf numFmtId="0" fontId="50" fillId="0" borderId="30"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46" xfId="0" applyFont="1" applyBorder="1" applyAlignment="1">
      <alignment horizontal="center" vertical="center" wrapText="1"/>
    </xf>
    <xf numFmtId="0" fontId="0" fillId="0" borderId="39" xfId="0" applyBorder="1" applyAlignment="1">
      <alignment horizontal="center" vertical="center" wrapText="1"/>
    </xf>
    <xf numFmtId="0" fontId="0" fillId="0" borderId="30" xfId="0"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1" fillId="0" borderId="17" xfId="0" applyFont="1" applyBorder="1" applyAlignment="1">
      <alignment vertical="center" wrapText="1"/>
    </xf>
    <xf numFmtId="0" fontId="21" fillId="0" borderId="25" xfId="0" applyFont="1" applyBorder="1" applyAlignment="1">
      <alignment vertical="center" wrapText="1"/>
    </xf>
    <xf numFmtId="0" fontId="21" fillId="0" borderId="21" xfId="0" applyFont="1" applyBorder="1" applyAlignment="1">
      <alignment vertical="center" wrapText="1"/>
    </xf>
    <xf numFmtId="0" fontId="21" fillId="0" borderId="1" xfId="0" applyFont="1" applyBorder="1" applyAlignment="1">
      <alignment horizontal="center" vertical="center" wrapText="1"/>
    </xf>
    <xf numFmtId="0" fontId="21" fillId="7" borderId="1" xfId="0" applyFont="1" applyFill="1" applyBorder="1" applyAlignment="1">
      <alignment horizontal="center" vertical="center" wrapText="1"/>
    </xf>
    <xf numFmtId="0" fontId="21" fillId="0" borderId="17" xfId="0" applyFont="1" applyBorder="1" applyAlignment="1">
      <alignment horizontal="center" vertical="center" wrapText="1"/>
    </xf>
    <xf numFmtId="0" fontId="21" fillId="0" borderId="25" xfId="0" applyFont="1" applyBorder="1" applyAlignment="1">
      <alignment horizontal="center" vertical="center" wrapText="1"/>
    </xf>
    <xf numFmtId="0" fontId="48" fillId="0" borderId="31" xfId="1" applyBorder="1" applyAlignment="1">
      <alignment horizontal="center" vertical="center" wrapText="1"/>
    </xf>
    <xf numFmtId="0" fontId="48" fillId="0" borderId="33" xfId="1" applyBorder="1" applyAlignment="1">
      <alignment horizontal="center" vertical="center" wrapText="1"/>
    </xf>
    <xf numFmtId="0" fontId="50" fillId="46" borderId="31" xfId="0" applyFont="1" applyFill="1" applyBorder="1" applyAlignment="1">
      <alignment horizontal="center" vertical="center" wrapText="1"/>
    </xf>
    <xf numFmtId="0" fontId="0" fillId="46" borderId="31" xfId="0" applyFill="1" applyBorder="1" applyAlignment="1">
      <alignment horizontal="center" vertical="center" wrapText="1"/>
    </xf>
    <xf numFmtId="0" fontId="0" fillId="2" borderId="31" xfId="0" applyFill="1" applyBorder="1" applyAlignment="1">
      <alignment horizontal="center" vertical="center" wrapText="1"/>
    </xf>
    <xf numFmtId="0" fontId="48" fillId="36" borderId="31" xfId="1" applyFill="1" applyBorder="1" applyAlignment="1">
      <alignment horizontal="center" vertical="center" wrapText="1"/>
    </xf>
    <xf numFmtId="0" fontId="48" fillId="37" borderId="31" xfId="1" applyFill="1" applyBorder="1" applyAlignment="1">
      <alignment horizontal="center" vertical="center" wrapText="1"/>
    </xf>
    <xf numFmtId="0" fontId="48" fillId="38" borderId="31" xfId="1" applyFill="1" applyBorder="1" applyAlignment="1">
      <alignment horizontal="center" vertical="center" wrapText="1"/>
    </xf>
    <xf numFmtId="0" fontId="0" fillId="41" borderId="31" xfId="0" applyFill="1" applyBorder="1" applyAlignment="1">
      <alignment horizontal="center" vertical="center" wrapText="1"/>
    </xf>
    <xf numFmtId="0" fontId="0" fillId="39" borderId="31" xfId="0" applyFill="1" applyBorder="1" applyAlignment="1">
      <alignment horizontal="center" vertical="center" wrapText="1"/>
    </xf>
    <xf numFmtId="0" fontId="48" fillId="35" borderId="31" xfId="1" applyFill="1" applyBorder="1" applyAlignment="1">
      <alignment horizontal="center" vertical="center" wrapText="1"/>
    </xf>
    <xf numFmtId="0" fontId="48" fillId="29" borderId="31" xfId="1" applyFill="1" applyBorder="1" applyAlignment="1">
      <alignment horizontal="center" vertical="center" wrapText="1"/>
    </xf>
    <xf numFmtId="0" fontId="48" fillId="25" borderId="31" xfId="1" applyFill="1" applyBorder="1" applyAlignment="1">
      <alignment horizontal="center" vertical="center" wrapText="1"/>
    </xf>
    <xf numFmtId="0" fontId="48" fillId="34" borderId="31" xfId="1" applyFill="1" applyBorder="1" applyAlignment="1">
      <alignment horizontal="center" vertical="center" wrapText="1"/>
    </xf>
    <xf numFmtId="0" fontId="0" fillId="0" borderId="29" xfId="0" applyBorder="1" applyAlignment="1">
      <alignment horizontal="center" vertical="center" wrapText="1"/>
    </xf>
    <xf numFmtId="0" fontId="48" fillId="0" borderId="39" xfId="1" applyBorder="1" applyAlignment="1">
      <alignment horizontal="center" vertical="center" wrapText="1"/>
    </xf>
    <xf numFmtId="0" fontId="48" fillId="0" borderId="29" xfId="1" applyBorder="1" applyAlignment="1">
      <alignment horizontal="center" vertical="center" wrapText="1"/>
    </xf>
    <xf numFmtId="0" fontId="48" fillId="0" borderId="30" xfId="1" applyBorder="1" applyAlignment="1">
      <alignment horizontal="center" vertical="center" wrapText="1"/>
    </xf>
    <xf numFmtId="178" fontId="88" fillId="4" borderId="44" xfId="0" applyNumberFormat="1" applyFont="1" applyFill="1" applyBorder="1" applyAlignment="1" applyProtection="1">
      <alignment horizontal="center" vertical="top" wrapText="1"/>
      <protection locked="0"/>
    </xf>
    <xf numFmtId="178" fontId="88" fillId="4" borderId="47" xfId="0" applyNumberFormat="1" applyFont="1" applyFill="1" applyBorder="1" applyAlignment="1" applyProtection="1">
      <alignment horizontal="center" vertical="top" wrapText="1"/>
      <protection locked="0"/>
    </xf>
    <xf numFmtId="178" fontId="88" fillId="4" borderId="48" xfId="0" applyNumberFormat="1" applyFont="1" applyFill="1" applyBorder="1" applyAlignment="1" applyProtection="1">
      <alignment horizontal="center" vertical="top" wrapText="1"/>
      <protection locked="0"/>
    </xf>
    <xf numFmtId="0" fontId="87" fillId="14" borderId="44" xfId="0" applyFont="1" applyFill="1" applyBorder="1" applyAlignment="1" applyProtection="1">
      <alignment horizontal="center" vertical="top" wrapText="1"/>
      <protection locked="0"/>
    </xf>
    <xf numFmtId="0" fontId="87" fillId="14" borderId="47" xfId="0" applyFont="1" applyFill="1" applyBorder="1" applyAlignment="1" applyProtection="1">
      <alignment horizontal="center" vertical="top" wrapText="1"/>
      <protection locked="0"/>
    </xf>
    <xf numFmtId="0" fontId="87" fillId="14" borderId="48" xfId="0" applyFont="1" applyFill="1" applyBorder="1" applyAlignment="1" applyProtection="1">
      <alignment horizontal="center" vertical="top" wrapText="1"/>
      <protection locked="0"/>
    </xf>
    <xf numFmtId="178" fontId="91" fillId="0" borderId="44" xfId="0" applyNumberFormat="1" applyFont="1" applyBorder="1" applyAlignment="1" applyProtection="1">
      <alignment horizontal="center" vertical="top" wrapText="1"/>
      <protection locked="0"/>
    </xf>
    <xf numFmtId="178" fontId="91" fillId="0" borderId="47" xfId="0" applyNumberFormat="1" applyFont="1" applyBorder="1" applyAlignment="1" applyProtection="1">
      <alignment horizontal="center" vertical="top" wrapText="1"/>
      <protection locked="0"/>
    </xf>
    <xf numFmtId="178" fontId="91" fillId="0" borderId="48" xfId="0" applyNumberFormat="1" applyFont="1" applyBorder="1" applyAlignment="1" applyProtection="1">
      <alignment horizontal="center" vertical="top" wrapText="1"/>
      <protection locked="0"/>
    </xf>
    <xf numFmtId="0" fontId="87" fillId="16" borderId="44" xfId="0" applyFont="1" applyFill="1" applyBorder="1" applyAlignment="1" applyProtection="1">
      <alignment horizontal="center" vertical="center" wrapText="1"/>
      <protection locked="0"/>
    </xf>
    <xf numFmtId="0" fontId="87" fillId="16" borderId="47" xfId="0" applyFont="1" applyFill="1" applyBorder="1" applyAlignment="1" applyProtection="1">
      <alignment horizontal="center" vertical="center" wrapText="1"/>
      <protection locked="0"/>
    </xf>
    <xf numFmtId="0" fontId="87" fillId="16" borderId="48" xfId="0" applyFont="1" applyFill="1" applyBorder="1" applyAlignment="1" applyProtection="1">
      <alignment horizontal="center" vertical="center" wrapText="1"/>
      <protection locked="0"/>
    </xf>
    <xf numFmtId="0" fontId="1" fillId="7" borderId="13" xfId="0" applyFont="1" applyFill="1" applyBorder="1" applyAlignment="1" applyProtection="1">
      <alignment horizontal="left" vertical="center" wrapText="1"/>
      <protection locked="0"/>
    </xf>
    <xf numFmtId="0" fontId="22" fillId="9" borderId="13" xfId="0" applyFont="1" applyFill="1" applyBorder="1" applyAlignment="1">
      <alignment horizontal="center" vertical="center" wrapText="1"/>
    </xf>
    <xf numFmtId="0" fontId="21" fillId="12" borderId="13" xfId="0" applyFont="1" applyFill="1" applyBorder="1" applyAlignment="1">
      <alignment horizontal="center" vertical="center" wrapText="1"/>
    </xf>
    <xf numFmtId="0" fontId="1" fillId="4" borderId="13" xfId="0" applyFont="1" applyFill="1" applyBorder="1" applyAlignment="1" applyProtection="1">
      <alignment horizontal="left" vertical="center" wrapText="1"/>
      <protection locked="0"/>
    </xf>
    <xf numFmtId="0" fontId="19" fillId="7" borderId="13" xfId="0" applyFont="1" applyFill="1" applyBorder="1" applyAlignment="1" applyProtection="1">
      <alignment horizontal="center" vertical="center" wrapText="1"/>
      <protection locked="0"/>
    </xf>
    <xf numFmtId="0" fontId="14" fillId="30" borderId="0" xfId="0" applyFont="1" applyFill="1" applyAlignment="1">
      <alignment horizontal="center" vertical="center" wrapText="1"/>
    </xf>
    <xf numFmtId="0" fontId="14" fillId="9" borderId="0" xfId="0" applyFont="1" applyFill="1" applyAlignment="1">
      <alignment horizontal="center" vertical="center" wrapText="1"/>
    </xf>
    <xf numFmtId="0" fontId="19" fillId="11" borderId="0" xfId="0" applyFont="1" applyFill="1" applyAlignment="1" applyProtection="1">
      <alignment horizontal="center" vertical="center" wrapText="1"/>
      <protection locked="0"/>
    </xf>
    <xf numFmtId="0" fontId="7" fillId="2" borderId="0" xfId="0" applyFont="1" applyFill="1" applyAlignment="1">
      <alignment horizontal="center" wrapText="1"/>
    </xf>
    <xf numFmtId="0" fontId="87" fillId="16" borderId="58" xfId="0" applyFont="1" applyFill="1" applyBorder="1" applyAlignment="1" applyProtection="1">
      <alignment horizontal="center" vertical="center"/>
      <protection locked="0"/>
    </xf>
    <xf numFmtId="0" fontId="87" fillId="16" borderId="45" xfId="0" applyFont="1" applyFill="1" applyBorder="1" applyAlignment="1" applyProtection="1">
      <alignment horizontal="center" vertical="center"/>
      <protection locked="0"/>
    </xf>
    <xf numFmtId="178" fontId="87" fillId="0" borderId="0" xfId="0" applyNumberFormat="1" applyFont="1" applyAlignment="1" applyProtection="1">
      <alignment horizontal="center" vertical="center"/>
      <protection locked="0"/>
    </xf>
    <xf numFmtId="178" fontId="87" fillId="0" borderId="61" xfId="0" applyNumberFormat="1" applyFont="1" applyBorder="1" applyAlignment="1" applyProtection="1">
      <alignment horizontal="center" vertical="center"/>
      <protection locked="0"/>
    </xf>
    <xf numFmtId="178" fontId="88" fillId="4" borderId="13" xfId="0" applyNumberFormat="1" applyFont="1" applyFill="1" applyBorder="1" applyAlignment="1" applyProtection="1">
      <alignment horizontal="center" vertical="top" wrapText="1"/>
      <protection locked="0"/>
    </xf>
    <xf numFmtId="0" fontId="85" fillId="55" borderId="44" xfId="0" applyFont="1" applyFill="1" applyBorder="1" applyAlignment="1" applyProtection="1">
      <alignment horizontal="center" vertical="center" wrapText="1"/>
      <protection locked="0"/>
    </xf>
    <xf numFmtId="0" fontId="85" fillId="55" borderId="47" xfId="0" applyFont="1" applyFill="1" applyBorder="1" applyAlignment="1" applyProtection="1">
      <alignment horizontal="center" vertical="center" wrapText="1"/>
      <protection locked="0"/>
    </xf>
    <xf numFmtId="0" fontId="85" fillId="55" borderId="48" xfId="0" applyFont="1" applyFill="1" applyBorder="1" applyAlignment="1" applyProtection="1">
      <alignment horizontal="center" vertical="center" wrapText="1"/>
      <protection locked="0"/>
    </xf>
    <xf numFmtId="0" fontId="86" fillId="55" borderId="54" xfId="0" applyFont="1" applyFill="1" applyBorder="1" applyAlignment="1" applyProtection="1">
      <alignment horizontal="center" vertical="center" wrapText="1"/>
      <protection locked="0"/>
    </xf>
    <xf numFmtId="0" fontId="86" fillId="55" borderId="62" xfId="0" applyFont="1" applyFill="1" applyBorder="1" applyAlignment="1" applyProtection="1">
      <alignment horizontal="center" vertical="center" wrapText="1"/>
      <protection locked="0"/>
    </xf>
    <xf numFmtId="0" fontId="86" fillId="55" borderId="62" xfId="0" applyFont="1" applyFill="1" applyBorder="1" applyAlignment="1" applyProtection="1">
      <alignment horizontal="center" vertical="top" wrapText="1"/>
      <protection locked="0"/>
    </xf>
    <xf numFmtId="0" fontId="86" fillId="55" borderId="53" xfId="0" applyFont="1" applyFill="1" applyBorder="1" applyAlignment="1" applyProtection="1">
      <alignment horizontal="center" vertical="top" wrapText="1"/>
      <protection locked="0"/>
    </xf>
    <xf numFmtId="0" fontId="5" fillId="7" borderId="13" xfId="0" applyFont="1" applyFill="1" applyBorder="1" applyAlignment="1" applyProtection="1">
      <alignment horizontal="left" vertical="top" wrapText="1"/>
      <protection locked="0"/>
    </xf>
    <xf numFmtId="0" fontId="19" fillId="10" borderId="0" xfId="0" applyFont="1" applyFill="1" applyAlignment="1">
      <alignment horizontal="center" vertical="center" wrapText="1"/>
    </xf>
    <xf numFmtId="0" fontId="14" fillId="56" borderId="1" xfId="2" applyFont="1" applyFill="1" applyBorder="1" applyAlignment="1">
      <alignment horizontal="center" vertical="center"/>
    </xf>
    <xf numFmtId="0" fontId="50" fillId="4" borderId="1" xfId="2" applyFill="1" applyBorder="1" applyAlignment="1" applyProtection="1">
      <alignment horizontal="center" vertical="center"/>
      <protection locked="0"/>
    </xf>
    <xf numFmtId="0" fontId="7" fillId="2" borderId="7" xfId="2" applyFont="1" applyFill="1" applyBorder="1" applyAlignment="1">
      <alignment horizontal="center" wrapText="1"/>
    </xf>
    <xf numFmtId="0" fontId="1" fillId="0" borderId="1" xfId="2" applyFont="1" applyBorder="1" applyAlignment="1" applyProtection="1">
      <alignment horizontal="center" vertical="top" wrapText="1"/>
      <protection locked="0"/>
    </xf>
    <xf numFmtId="0" fontId="14" fillId="18" borderId="6"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 fillId="4" borderId="1" xfId="2" applyFont="1" applyFill="1" applyBorder="1" applyAlignment="1" applyProtection="1">
      <alignment horizontal="center" vertical="center" wrapText="1"/>
      <protection locked="0"/>
    </xf>
    <xf numFmtId="0" fontId="7" fillId="2" borderId="2" xfId="2" applyFont="1" applyFill="1" applyBorder="1" applyAlignment="1">
      <alignment horizontal="center" wrapText="1"/>
    </xf>
    <xf numFmtId="0" fontId="14" fillId="18" borderId="5" xfId="2" applyFont="1" applyFill="1" applyBorder="1" applyAlignment="1">
      <alignment horizontal="center" vertical="center" wrapText="1"/>
    </xf>
    <xf numFmtId="0" fontId="14" fillId="18" borderId="10" xfId="2" applyFont="1" applyFill="1" applyBorder="1" applyAlignment="1">
      <alignment horizontal="center" vertical="center" wrapText="1"/>
    </xf>
    <xf numFmtId="0" fontId="1" fillId="0" borderId="1" xfId="2" applyFont="1" applyBorder="1" applyAlignment="1" applyProtection="1">
      <alignment horizontal="left" vertical="top" wrapText="1"/>
      <protection locked="0"/>
    </xf>
    <xf numFmtId="0" fontId="1" fillId="6" borderId="6" xfId="2" applyFont="1" applyFill="1" applyBorder="1" applyAlignment="1">
      <alignment horizontal="center" vertical="center" wrapText="1"/>
    </xf>
    <xf numFmtId="0" fontId="1" fillId="6" borderId="11" xfId="2" applyFont="1" applyFill="1" applyBorder="1" applyAlignment="1">
      <alignment horizontal="center" vertical="center" wrapText="1"/>
    </xf>
    <xf numFmtId="0" fontId="1" fillId="4" borderId="1" xfId="2" applyFont="1" applyFill="1" applyBorder="1" applyAlignment="1" applyProtection="1">
      <alignment horizontal="center" vertical="center"/>
      <protection locked="0"/>
    </xf>
    <xf numFmtId="0" fontId="41" fillId="43" borderId="1" xfId="2" applyFont="1" applyFill="1" applyBorder="1" applyAlignment="1">
      <alignment horizontal="center" vertical="center"/>
    </xf>
    <xf numFmtId="0" fontId="45" fillId="5" borderId="1" xfId="2" applyFont="1" applyFill="1" applyBorder="1" applyAlignment="1">
      <alignment horizontal="center" vertical="center"/>
    </xf>
    <xf numFmtId="0" fontId="1" fillId="4" borderId="6" xfId="2" applyFont="1" applyFill="1" applyBorder="1" applyAlignment="1" applyProtection="1">
      <alignment horizontal="center" vertical="center" wrapText="1"/>
      <protection locked="0"/>
    </xf>
    <xf numFmtId="0" fontId="1" fillId="4" borderId="7" xfId="2" applyFont="1" applyFill="1" applyBorder="1" applyAlignment="1" applyProtection="1">
      <alignment horizontal="center" vertical="center" wrapText="1"/>
      <protection locked="0"/>
    </xf>
    <xf numFmtId="0" fontId="1" fillId="4" borderId="11" xfId="2" applyFont="1" applyFill="1" applyBorder="1" applyAlignment="1" applyProtection="1">
      <alignment horizontal="center" vertical="center" wrapText="1"/>
      <protection locked="0"/>
    </xf>
    <xf numFmtId="0" fontId="1" fillId="4" borderId="1" xfId="2" applyFont="1" applyFill="1" applyBorder="1" applyAlignment="1" applyProtection="1">
      <alignment horizontal="left" vertical="top"/>
      <protection locked="0"/>
    </xf>
    <xf numFmtId="0" fontId="1" fillId="4" borderId="17" xfId="2" applyFont="1" applyFill="1" applyBorder="1" applyAlignment="1" applyProtection="1">
      <alignment horizontal="left" vertical="top"/>
      <protection locked="0"/>
    </xf>
    <xf numFmtId="0" fontId="14" fillId="18" borderId="7" xfId="2" applyFont="1" applyFill="1" applyBorder="1" applyAlignment="1">
      <alignment horizontal="center" vertical="center" wrapText="1"/>
    </xf>
    <xf numFmtId="0" fontId="1" fillId="0" borderId="6" xfId="2" applyFont="1" applyBorder="1" applyAlignment="1" applyProtection="1">
      <alignment horizontal="center" vertical="center" wrapText="1"/>
      <protection locked="0"/>
    </xf>
    <xf numFmtId="0" fontId="1" fillId="0" borderId="7" xfId="2" applyFont="1" applyBorder="1" applyAlignment="1" applyProtection="1">
      <alignment horizontal="center" vertical="center" wrapText="1"/>
      <protection locked="0"/>
    </xf>
    <xf numFmtId="0" fontId="1" fillId="0" borderId="11" xfId="2" applyFont="1" applyBorder="1" applyAlignment="1" applyProtection="1">
      <alignment horizontal="center" vertical="center" wrapText="1"/>
      <protection locked="0"/>
    </xf>
    <xf numFmtId="0" fontId="14" fillId="18" borderId="1" xfId="2" applyFont="1" applyFill="1" applyBorder="1" applyAlignment="1">
      <alignment horizontal="center" vertical="center" wrapText="1"/>
    </xf>
    <xf numFmtId="0" fontId="1" fillId="0" borderId="1" xfId="2" applyFont="1" applyBorder="1" applyAlignment="1" applyProtection="1">
      <alignment horizontal="center" vertical="center" wrapText="1"/>
      <protection locked="0"/>
    </xf>
    <xf numFmtId="0" fontId="75" fillId="4" borderId="1" xfId="2" applyFont="1" applyFill="1" applyBorder="1" applyProtection="1">
      <alignment vertical="center"/>
      <protection locked="0"/>
    </xf>
    <xf numFmtId="0" fontId="5" fillId="4" borderId="1"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wrapText="1"/>
    </xf>
    <xf numFmtId="0" fontId="1" fillId="4" borderId="6" xfId="2" applyFont="1" applyFill="1" applyBorder="1" applyAlignment="1" applyProtection="1">
      <alignment horizontal="center" vertical="center"/>
      <protection locked="0"/>
    </xf>
    <xf numFmtId="0" fontId="1" fillId="4" borderId="7" xfId="2" applyFont="1" applyFill="1" applyBorder="1" applyAlignment="1" applyProtection="1">
      <alignment horizontal="center" vertical="center"/>
      <protection locked="0"/>
    </xf>
    <xf numFmtId="0" fontId="1" fillId="4" borderId="3" xfId="2" applyFont="1" applyFill="1" applyBorder="1" applyAlignment="1" applyProtection="1">
      <alignment horizontal="center" vertical="center" wrapText="1"/>
      <protection locked="0"/>
    </xf>
    <xf numFmtId="0" fontId="1" fillId="4" borderId="4" xfId="2" applyFont="1" applyFill="1" applyBorder="1" applyAlignment="1" applyProtection="1">
      <alignment horizontal="center" vertical="center" wrapText="1"/>
      <protection locked="0"/>
    </xf>
    <xf numFmtId="0" fontId="1" fillId="4" borderId="8" xfId="2" applyFont="1" applyFill="1" applyBorder="1" applyAlignment="1" applyProtection="1">
      <alignment horizontal="center" vertical="center" wrapText="1"/>
      <protection locked="0"/>
    </xf>
    <xf numFmtId="0" fontId="1" fillId="4" borderId="15" xfId="2" applyFont="1" applyFill="1" applyBorder="1" applyAlignment="1" applyProtection="1">
      <alignment horizontal="center" vertical="center" wrapText="1"/>
      <protection locked="0"/>
    </xf>
    <xf numFmtId="0" fontId="1" fillId="4" borderId="0" xfId="2" applyFont="1" applyFill="1" applyAlignment="1" applyProtection="1">
      <alignment horizontal="center" vertical="center" wrapText="1"/>
      <protection locked="0"/>
    </xf>
    <xf numFmtId="0" fontId="1" fillId="4" borderId="14" xfId="2" applyFont="1" applyFill="1" applyBorder="1" applyAlignment="1" applyProtection="1">
      <alignment horizontal="center" vertical="center" wrapText="1"/>
      <protection locked="0"/>
    </xf>
    <xf numFmtId="0" fontId="1" fillId="4" borderId="5" xfId="2" applyFont="1" applyFill="1" applyBorder="1" applyAlignment="1" applyProtection="1">
      <alignment horizontal="center" vertical="center" wrapText="1"/>
      <protection locked="0"/>
    </xf>
    <xf numFmtId="0" fontId="1" fillId="4" borderId="2" xfId="2" applyFont="1" applyFill="1" applyBorder="1" applyAlignment="1" applyProtection="1">
      <alignment horizontal="center" vertical="center" wrapText="1"/>
      <protection locked="0"/>
    </xf>
    <xf numFmtId="0" fontId="1" fillId="4" borderId="10" xfId="2" applyFont="1" applyFill="1" applyBorder="1" applyAlignment="1" applyProtection="1">
      <alignment horizontal="center" vertical="center" wrapText="1"/>
      <protection locked="0"/>
    </xf>
    <xf numFmtId="0" fontId="1" fillId="7" borderId="6" xfId="2" applyFont="1" applyFill="1" applyBorder="1" applyAlignment="1" applyProtection="1">
      <alignment horizontal="center" vertical="center" wrapText="1"/>
      <protection locked="0"/>
    </xf>
    <xf numFmtId="0" fontId="1" fillId="7" borderId="7" xfId="2" applyFont="1" applyFill="1" applyBorder="1" applyAlignment="1" applyProtection="1">
      <alignment horizontal="center" vertical="center" wrapText="1"/>
      <protection locked="0"/>
    </xf>
    <xf numFmtId="0" fontId="1" fillId="7" borderId="11" xfId="2" applyFont="1" applyFill="1" applyBorder="1" applyAlignment="1" applyProtection="1">
      <alignment horizontal="center" vertical="center" wrapText="1"/>
      <protection locked="0"/>
    </xf>
    <xf numFmtId="0" fontId="1" fillId="7" borderId="1" xfId="2" applyFont="1" applyFill="1" applyBorder="1" applyAlignment="1" applyProtection="1">
      <alignment horizontal="center" vertical="center" wrapText="1"/>
      <protection locked="0"/>
    </xf>
    <xf numFmtId="0" fontId="1" fillId="0" borderId="6" xfId="2" applyFont="1" applyBorder="1" applyAlignment="1" applyProtection="1">
      <alignment horizontal="center" vertical="center"/>
      <protection locked="0"/>
    </xf>
    <xf numFmtId="0" fontId="1" fillId="0" borderId="11" xfId="2" applyFont="1" applyBorder="1" applyAlignment="1" applyProtection="1">
      <alignment horizontal="center" vertical="center"/>
      <protection locked="0"/>
    </xf>
    <xf numFmtId="0" fontId="7" fillId="2" borderId="0" xfId="2" applyFont="1" applyFill="1" applyAlignment="1">
      <alignment horizontal="center" wrapText="1"/>
    </xf>
    <xf numFmtId="176" fontId="1" fillId="0" borderId="6" xfId="2" applyNumberFormat="1" applyFont="1" applyBorder="1" applyAlignment="1" applyProtection="1">
      <alignment horizontal="left" vertical="top"/>
      <protection locked="0"/>
    </xf>
    <xf numFmtId="176" fontId="1" fillId="0" borderId="7" xfId="2" applyNumberFormat="1" applyFont="1" applyBorder="1" applyAlignment="1" applyProtection="1">
      <alignment horizontal="left" vertical="top"/>
      <protection locked="0"/>
    </xf>
    <xf numFmtId="176" fontId="1" fillId="0" borderId="11" xfId="2" applyNumberFormat="1" applyFont="1" applyBorder="1" applyAlignment="1" applyProtection="1">
      <alignment horizontal="left" vertical="top"/>
      <protection locked="0"/>
    </xf>
    <xf numFmtId="0" fontId="21" fillId="0" borderId="6" xfId="2" applyFont="1" applyBorder="1" applyAlignment="1" applyProtection="1">
      <alignment horizontal="center" vertical="center"/>
      <protection locked="0"/>
    </xf>
    <xf numFmtId="0" fontId="21" fillId="0" borderId="11" xfId="2" applyFont="1" applyBorder="1" applyAlignment="1" applyProtection="1">
      <alignment horizontal="center" vertical="center"/>
      <protection locked="0"/>
    </xf>
    <xf numFmtId="0" fontId="14" fillId="26" borderId="0" xfId="2" applyFont="1" applyFill="1" applyAlignment="1">
      <alignment horizontal="center" vertical="center"/>
    </xf>
    <xf numFmtId="0" fontId="14" fillId="26" borderId="0" xfId="2" applyFont="1" applyFill="1" applyAlignment="1">
      <alignment horizontal="center" vertical="center" wrapText="1"/>
    </xf>
    <xf numFmtId="0" fontId="1" fillId="43" borderId="1" xfId="2" applyFont="1" applyFill="1" applyBorder="1" applyAlignment="1">
      <alignment horizontal="center" vertical="center"/>
    </xf>
    <xf numFmtId="0" fontId="10" fillId="7" borderId="44" xfId="2" applyFont="1" applyFill="1" applyBorder="1" applyAlignment="1" applyProtection="1">
      <alignment horizontal="center" vertical="center"/>
      <protection locked="0"/>
    </xf>
    <xf numFmtId="0" fontId="10" fillId="7" borderId="47" xfId="2" applyFont="1" applyFill="1" applyBorder="1" applyAlignment="1" applyProtection="1">
      <alignment horizontal="center" vertical="center"/>
      <protection locked="0"/>
    </xf>
    <xf numFmtId="0" fontId="10" fillId="7" borderId="48" xfId="2" applyFont="1" applyFill="1" applyBorder="1" applyAlignment="1" applyProtection="1">
      <alignment horizontal="center" vertical="center"/>
      <protection locked="0"/>
    </xf>
    <xf numFmtId="0" fontId="10" fillId="7" borderId="13" xfId="2" applyFont="1" applyFill="1" applyBorder="1" applyAlignment="1" applyProtection="1">
      <alignment horizontal="left" vertical="center"/>
      <protection locked="0"/>
    </xf>
    <xf numFmtId="0" fontId="10" fillId="7" borderId="13" xfId="2" applyFont="1" applyFill="1" applyBorder="1" applyAlignment="1" applyProtection="1">
      <alignment horizontal="center" vertical="center"/>
      <protection locked="0"/>
    </xf>
    <xf numFmtId="0" fontId="10" fillId="4" borderId="44" xfId="2" applyFont="1" applyFill="1" applyBorder="1" applyAlignment="1" applyProtection="1">
      <alignment horizontal="center" vertical="center"/>
      <protection locked="0"/>
    </xf>
    <xf numFmtId="0" fontId="10" fillId="4" borderId="47" xfId="2" applyFont="1" applyFill="1" applyBorder="1" applyAlignment="1" applyProtection="1">
      <alignment horizontal="center" vertical="center"/>
      <protection locked="0"/>
    </xf>
    <xf numFmtId="0" fontId="10" fillId="4" borderId="48" xfId="2" applyFont="1" applyFill="1" applyBorder="1" applyAlignment="1" applyProtection="1">
      <alignment horizontal="center" vertical="center"/>
      <protection locked="0"/>
    </xf>
    <xf numFmtId="0" fontId="10" fillId="4" borderId="13" xfId="2" applyFont="1" applyFill="1" applyBorder="1" applyAlignment="1" applyProtection="1">
      <alignment horizontal="left" vertical="center"/>
      <protection locked="0"/>
    </xf>
    <xf numFmtId="0" fontId="10" fillId="4" borderId="13" xfId="2" applyFont="1" applyFill="1" applyBorder="1" applyAlignment="1" applyProtection="1">
      <alignment horizontal="center" vertical="center"/>
      <protection locked="0"/>
    </xf>
    <xf numFmtId="0" fontId="7" fillId="2" borderId="0" xfId="2" applyFont="1" applyFill="1" applyAlignment="1">
      <alignment horizontal="center"/>
    </xf>
    <xf numFmtId="0" fontId="14" fillId="3" borderId="0" xfId="2" applyFont="1" applyFill="1" applyAlignment="1">
      <alignment horizontal="center" vertical="center"/>
    </xf>
    <xf numFmtId="0" fontId="15" fillId="8" borderId="13" xfId="2" applyFont="1" applyFill="1" applyBorder="1" applyAlignment="1">
      <alignment horizontal="center" vertical="center" wrapText="1"/>
    </xf>
    <xf numFmtId="0" fontId="14" fillId="8" borderId="13" xfId="2" applyFont="1" applyFill="1" applyBorder="1" applyAlignment="1">
      <alignment horizontal="center" vertical="center" wrapText="1"/>
    </xf>
    <xf numFmtId="0" fontId="13" fillId="8" borderId="13" xfId="2" applyFont="1" applyFill="1" applyBorder="1" applyAlignment="1">
      <alignment horizontal="center" vertical="center" wrapText="1"/>
    </xf>
    <xf numFmtId="0" fontId="12" fillId="8" borderId="13" xfId="2" applyFont="1" applyFill="1" applyBorder="1" applyAlignment="1">
      <alignment horizontal="center" vertical="center" wrapText="1"/>
    </xf>
    <xf numFmtId="0" fontId="11" fillId="8" borderId="13" xfId="2" applyFont="1" applyFill="1" applyBorder="1" applyAlignment="1">
      <alignment horizontal="center" vertical="center" wrapText="1"/>
    </xf>
    <xf numFmtId="0" fontId="1" fillId="4" borderId="1" xfId="2" applyFont="1" applyFill="1" applyBorder="1" applyAlignment="1" applyProtection="1">
      <alignment horizontal="left" vertical="center" wrapText="1"/>
      <protection locked="0"/>
    </xf>
    <xf numFmtId="0" fontId="74" fillId="3" borderId="0" xfId="2" applyFont="1" applyFill="1" applyAlignment="1">
      <alignment horizontal="center" vertical="center"/>
    </xf>
    <xf numFmtId="0" fontId="14" fillId="3" borderId="1" xfId="2" applyFont="1" applyFill="1" applyBorder="1" applyAlignment="1">
      <alignment horizontal="center" vertical="center" wrapText="1"/>
    </xf>
    <xf numFmtId="0" fontId="1" fillId="4" borderId="1" xfId="2" applyFont="1" applyFill="1" applyBorder="1" applyAlignment="1">
      <alignment horizontal="center" vertical="center"/>
    </xf>
    <xf numFmtId="0" fontId="3" fillId="10" borderId="2" xfId="0" applyFont="1" applyFill="1" applyBorder="1" applyAlignment="1">
      <alignment horizontal="center" vertical="center"/>
    </xf>
    <xf numFmtId="0" fontId="3" fillId="10" borderId="27" xfId="0" applyFont="1" applyFill="1" applyBorder="1" applyAlignment="1">
      <alignment horizontal="center" vertical="center"/>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0" xfId="0" applyFont="1" applyFill="1" applyAlignment="1">
      <alignment horizontal="left" vertical="top" wrapText="1"/>
    </xf>
    <xf numFmtId="0" fontId="3" fillId="4" borderId="1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10" borderId="7" xfId="0" applyFont="1" applyFill="1" applyBorder="1" applyAlignment="1">
      <alignment horizontal="center" vertical="center" wrapText="1"/>
    </xf>
    <xf numFmtId="0" fontId="3" fillId="10" borderId="27" xfId="0" applyFont="1" applyFill="1" applyBorder="1" applyAlignment="1">
      <alignment horizontal="center" vertical="center" wrapText="1"/>
    </xf>
    <xf numFmtId="0" fontId="3" fillId="10" borderId="0" xfId="0" applyFont="1" applyFill="1" applyAlignment="1">
      <alignment horizontal="center" vertical="center" wrapText="1"/>
    </xf>
    <xf numFmtId="0" fontId="17" fillId="10" borderId="3"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17" fillId="10" borderId="2"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1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4" fillId="8" borderId="0" xfId="0" applyFont="1" applyFill="1" applyAlignment="1">
      <alignment horizontal="center" vertical="center" wrapText="1"/>
    </xf>
    <xf numFmtId="0" fontId="89" fillId="0" borderId="0" xfId="1" applyFont="1" applyAlignment="1">
      <alignment horizontal="center" vertical="center"/>
    </xf>
    <xf numFmtId="0" fontId="89" fillId="0" borderId="1" xfId="1" applyFont="1" applyBorder="1" applyAlignment="1">
      <alignment horizontal="center" vertical="center" wrapText="1"/>
    </xf>
    <xf numFmtId="0" fontId="69" fillId="47" borderId="1" xfId="0" applyFont="1" applyFill="1" applyBorder="1" applyAlignment="1">
      <alignment vertical="center" wrapText="1"/>
    </xf>
    <xf numFmtId="0" fontId="50" fillId="4" borderId="3" xfId="0" applyFont="1" applyFill="1" applyBorder="1">
      <alignment vertical="center"/>
    </xf>
    <xf numFmtId="0" fontId="50" fillId="4" borderId="4" xfId="0" applyFont="1" applyFill="1" applyBorder="1">
      <alignment vertical="center"/>
    </xf>
    <xf numFmtId="0" fontId="50" fillId="4" borderId="8" xfId="0" applyFont="1" applyFill="1" applyBorder="1">
      <alignment vertical="center"/>
    </xf>
    <xf numFmtId="0" fontId="50" fillId="4" borderId="5" xfId="0" applyFont="1" applyFill="1" applyBorder="1">
      <alignment vertical="center"/>
    </xf>
    <xf numFmtId="0" fontId="50" fillId="4" borderId="2" xfId="0" applyFont="1" applyFill="1" applyBorder="1">
      <alignment vertical="center"/>
    </xf>
    <xf numFmtId="0" fontId="50" fillId="4" borderId="10" xfId="0" applyFont="1" applyFill="1" applyBorder="1">
      <alignment vertical="center"/>
    </xf>
    <xf numFmtId="0" fontId="70" fillId="26" borderId="1" xfId="0" applyFont="1" applyFill="1" applyBorder="1" applyAlignment="1">
      <alignment horizontal="center" vertical="center"/>
    </xf>
    <xf numFmtId="0" fontId="14" fillId="62" borderId="90" xfId="0" applyFont="1" applyFill="1" applyBorder="1" applyAlignment="1">
      <alignment horizontal="center" vertical="center"/>
    </xf>
    <xf numFmtId="0" fontId="1" fillId="63" borderId="90" xfId="0" applyFont="1" applyFill="1" applyBorder="1" applyAlignment="1">
      <alignment horizontal="center" vertical="center"/>
    </xf>
    <xf numFmtId="0" fontId="1" fillId="4" borderId="90" xfId="0" applyFont="1" applyFill="1" applyBorder="1" applyAlignment="1">
      <alignment horizontal="left" vertical="top" wrapText="1"/>
    </xf>
    <xf numFmtId="0" fontId="50" fillId="4" borderId="3" xfId="0" applyFont="1" applyFill="1" applyBorder="1" applyAlignment="1">
      <alignment vertical="center" wrapText="1"/>
    </xf>
    <xf numFmtId="0" fontId="50" fillId="4" borderId="4" xfId="0" applyFont="1" applyFill="1" applyBorder="1" applyAlignment="1">
      <alignment vertical="center" wrapText="1"/>
    </xf>
    <xf numFmtId="0" fontId="50" fillId="4" borderId="8" xfId="0" applyFont="1" applyFill="1" applyBorder="1" applyAlignment="1">
      <alignment vertical="center" wrapText="1"/>
    </xf>
    <xf numFmtId="0" fontId="50" fillId="4" borderId="15" xfId="0" applyFont="1" applyFill="1" applyBorder="1" applyAlignment="1">
      <alignment vertical="center" wrapText="1"/>
    </xf>
    <xf numFmtId="0" fontId="50" fillId="4" borderId="0" xfId="0" applyFont="1" applyFill="1" applyAlignment="1">
      <alignment vertical="center" wrapText="1"/>
    </xf>
    <xf numFmtId="0" fontId="50" fillId="4" borderId="14" xfId="0" applyFont="1" applyFill="1" applyBorder="1" applyAlignment="1">
      <alignment vertical="center" wrapText="1"/>
    </xf>
    <xf numFmtId="0" fontId="50" fillId="4" borderId="5" xfId="0" applyFont="1" applyFill="1" applyBorder="1" applyAlignment="1">
      <alignment vertical="center" wrapText="1"/>
    </xf>
    <xf numFmtId="0" fontId="50" fillId="4" borderId="2" xfId="0" applyFont="1" applyFill="1" applyBorder="1" applyAlignment="1">
      <alignment vertical="center" wrapText="1"/>
    </xf>
    <xf numFmtId="0" fontId="50" fillId="4" borderId="10" xfId="0" applyFont="1" applyFill="1" applyBorder="1" applyAlignment="1">
      <alignment vertical="center" wrapText="1"/>
    </xf>
    <xf numFmtId="0" fontId="71" fillId="2" borderId="15" xfId="0" applyFont="1" applyFill="1" applyBorder="1">
      <alignment vertical="center"/>
    </xf>
    <xf numFmtId="0" fontId="50" fillId="4" borderId="1" xfId="0" applyFont="1" applyFill="1" applyBorder="1" applyAlignment="1">
      <alignment vertical="center" wrapText="1"/>
    </xf>
    <xf numFmtId="0" fontId="70" fillId="26" borderId="6" xfId="0" applyFont="1" applyFill="1" applyBorder="1" applyAlignment="1">
      <alignment horizontal="center" vertical="center"/>
    </xf>
    <xf numFmtId="0" fontId="70" fillId="26" borderId="7" xfId="0" applyFont="1" applyFill="1" applyBorder="1" applyAlignment="1">
      <alignment horizontal="center" vertical="center"/>
    </xf>
    <xf numFmtId="0" fontId="70" fillId="26" borderId="11" xfId="0" applyFont="1" applyFill="1" applyBorder="1" applyAlignment="1">
      <alignment horizontal="center" vertical="center"/>
    </xf>
    <xf numFmtId="0" fontId="67" fillId="48" borderId="55" xfId="0" applyFont="1" applyFill="1" applyBorder="1" applyAlignment="1">
      <alignment horizontal="center" vertical="center"/>
    </xf>
    <xf numFmtId="0" fontId="67" fillId="48" borderId="56" xfId="0" applyFont="1" applyFill="1" applyBorder="1" applyAlignment="1">
      <alignment horizontal="center" vertical="center"/>
    </xf>
    <xf numFmtId="0" fontId="67" fillId="48" borderId="57" xfId="0" applyFont="1" applyFill="1" applyBorder="1" applyAlignment="1">
      <alignment horizontal="center" vertical="center"/>
    </xf>
    <xf numFmtId="0" fontId="67" fillId="48" borderId="58" xfId="0" applyFont="1" applyFill="1" applyBorder="1" applyAlignment="1">
      <alignment horizontal="center" vertical="center"/>
    </xf>
    <xf numFmtId="0" fontId="67" fillId="48" borderId="45" xfId="0" applyFont="1" applyFill="1" applyBorder="1" applyAlignment="1">
      <alignment horizontal="center" vertical="center"/>
    </xf>
    <xf numFmtId="0" fontId="67" fillId="48" borderId="59" xfId="0" applyFont="1" applyFill="1" applyBorder="1" applyAlignment="1">
      <alignment horizontal="center" vertical="center"/>
    </xf>
    <xf numFmtId="0" fontId="66" fillId="36" borderId="55" xfId="0" applyFont="1" applyFill="1" applyBorder="1" applyAlignment="1">
      <alignment horizontal="center" vertical="center"/>
    </xf>
    <xf numFmtId="0" fontId="66" fillId="36" borderId="56" xfId="0" applyFont="1" applyFill="1" applyBorder="1" applyAlignment="1">
      <alignment horizontal="center" vertical="center"/>
    </xf>
    <xf numFmtId="0" fontId="66" fillId="36" borderId="57" xfId="0" applyFont="1" applyFill="1" applyBorder="1" applyAlignment="1">
      <alignment horizontal="center" vertical="center"/>
    </xf>
    <xf numFmtId="0" fontId="66" fillId="36" borderId="58" xfId="0" applyFont="1" applyFill="1" applyBorder="1" applyAlignment="1">
      <alignment horizontal="center" vertical="center"/>
    </xf>
    <xf numFmtId="0" fontId="66" fillId="36" borderId="45" xfId="0" applyFont="1" applyFill="1" applyBorder="1" applyAlignment="1">
      <alignment horizontal="center" vertical="center"/>
    </xf>
    <xf numFmtId="0" fontId="66" fillId="36" borderId="59" xfId="0" applyFont="1" applyFill="1" applyBorder="1" applyAlignment="1">
      <alignment horizontal="center" vertical="center"/>
    </xf>
    <xf numFmtId="0" fontId="66" fillId="36" borderId="44" xfId="0" applyFont="1" applyFill="1" applyBorder="1" applyAlignment="1">
      <alignment horizontal="center" vertical="center" wrapText="1"/>
    </xf>
    <xf numFmtId="0" fontId="66" fillId="36" borderId="47" xfId="0" applyFont="1" applyFill="1" applyBorder="1" applyAlignment="1">
      <alignment horizontal="center" vertical="center" wrapText="1"/>
    </xf>
    <xf numFmtId="0" fontId="66" fillId="36" borderId="48" xfId="0" applyFont="1" applyFill="1" applyBorder="1" applyAlignment="1">
      <alignment horizontal="center" vertical="center" wrapText="1"/>
    </xf>
    <xf numFmtId="0" fontId="77" fillId="0" borderId="75" xfId="0" applyFont="1" applyBorder="1" applyAlignment="1">
      <alignment horizontal="center" vertical="center" wrapText="1"/>
    </xf>
    <xf numFmtId="0" fontId="78" fillId="0" borderId="76" xfId="0" applyFont="1" applyBorder="1" applyAlignment="1">
      <alignment horizontal="center" vertical="center" wrapText="1"/>
    </xf>
    <xf numFmtId="0" fontId="78" fillId="0" borderId="77" xfId="0" applyFont="1" applyBorder="1" applyAlignment="1">
      <alignment horizontal="center" vertical="center" wrapText="1"/>
    </xf>
    <xf numFmtId="0" fontId="78" fillId="0" borderId="75" xfId="0" applyFont="1" applyBorder="1" applyAlignment="1">
      <alignment horizontal="center" vertical="center" wrapText="1"/>
    </xf>
    <xf numFmtId="0" fontId="53" fillId="0" borderId="75" xfId="0" applyFont="1" applyBorder="1" applyAlignment="1">
      <alignment horizontal="left" vertical="center" wrapText="1"/>
    </xf>
    <xf numFmtId="0" fontId="53" fillId="0" borderId="76" xfId="0" applyFont="1" applyBorder="1" applyAlignment="1">
      <alignment horizontal="left" vertical="center" wrapText="1"/>
    </xf>
    <xf numFmtId="0" fontId="53" fillId="0" borderId="77" xfId="0" applyFont="1" applyBorder="1" applyAlignment="1">
      <alignment horizontal="left" vertical="center" wrapText="1"/>
    </xf>
    <xf numFmtId="0" fontId="53" fillId="0" borderId="75" xfId="0" applyFont="1" applyBorder="1" applyAlignment="1">
      <alignment horizontal="center" vertical="center"/>
    </xf>
    <xf numFmtId="0" fontId="53" fillId="0" borderId="76" xfId="0" applyFont="1" applyBorder="1" applyAlignment="1">
      <alignment horizontal="center" vertical="center"/>
    </xf>
    <xf numFmtId="0" fontId="53" fillId="0" borderId="77" xfId="0" applyFont="1" applyBorder="1" applyAlignment="1">
      <alignment horizontal="center" vertical="center"/>
    </xf>
    <xf numFmtId="0" fontId="76" fillId="0" borderId="75" xfId="0" applyFont="1" applyBorder="1" applyAlignment="1">
      <alignment horizontal="center" vertical="center"/>
    </xf>
    <xf numFmtId="0" fontId="76" fillId="0" borderId="76" xfId="0" applyFont="1" applyBorder="1" applyAlignment="1">
      <alignment horizontal="center" vertical="center"/>
    </xf>
    <xf numFmtId="0" fontId="76" fillId="0" borderId="77" xfId="0" applyFont="1" applyBorder="1" applyAlignment="1">
      <alignment horizontal="center" vertical="center"/>
    </xf>
  </cellXfs>
  <cellStyles count="3">
    <cellStyle name="常规" xfId="0" builtinId="0"/>
    <cellStyle name="常规 2" xfId="1" xr:uid="{00000000-0005-0000-0000-000031000000}"/>
    <cellStyle name="常规 3" xfId="2" xr:uid="{F828816B-EF88-48B1-ABCF-E8D777079BEB}"/>
  </cellStyles>
  <dxfs count="131">
    <dxf>
      <font>
        <b/>
        <i val="0"/>
        <color theme="8" tint="-0.499984740745262"/>
      </font>
    </dxf>
    <dxf>
      <font>
        <color theme="8" tint="0.39994506668294322"/>
      </font>
      <numFmt numFmtId="0" formatCode="General"/>
      <fill>
        <patternFill>
          <fgColor theme="4" tint="-0.24994659260841701"/>
          <bgColor theme="8" tint="0.39994506668294322"/>
        </patternFill>
      </fill>
    </dxf>
    <dxf>
      <font>
        <b/>
        <i val="0"/>
        <color theme="8" tint="-0.499984740745262"/>
      </font>
    </dxf>
    <dxf>
      <font>
        <color theme="9" tint="0.39994506668294322"/>
      </font>
      <fill>
        <patternFill patternType="solid">
          <bgColor theme="9" tint="0.39994506668294322"/>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ont>
        <color theme="0" tint="-0.24994659260841701"/>
      </font>
      <fill>
        <patternFill>
          <bgColor theme="0" tint="-0.24994659260841701"/>
        </patternFill>
      </fill>
    </dxf>
    <dxf>
      <fill>
        <gradientFill>
          <stop position="0">
            <color theme="0"/>
          </stop>
          <stop position="1">
            <color theme="4" tint="0.80001220740379042"/>
          </stop>
        </gradientFill>
      </fill>
    </dxf>
    <dxf>
      <font>
        <b/>
        <i val="0"/>
        <color theme="8" tint="-0.499984740745262"/>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color theme="4" tint="-0.24994659260841701"/>
      </font>
    </dxf>
    <dxf>
      <font>
        <color rgb="FFC00000"/>
      </font>
    </dxf>
    <dxf>
      <font>
        <color rgb="FF7030A0"/>
      </font>
    </dxf>
    <dxf>
      <font>
        <color theme="7" tint="-0.24994659260841701"/>
      </font>
    </dxf>
    <dxf>
      <font>
        <color theme="8" tint="-0.24994659260841701"/>
      </font>
    </dxf>
    <dxf>
      <font>
        <color theme="3" tint="-0.24994659260841701"/>
      </font>
    </dxf>
    <dxf>
      <font>
        <color theme="9" tint="-0.24994659260841701"/>
      </font>
    </dxf>
    <dxf>
      <font>
        <color theme="8" tint="-0.24994659260841701"/>
      </font>
    </dxf>
    <dxf>
      <font>
        <color theme="9" tint="-0.24994659260841701"/>
      </font>
    </dxf>
    <dxf>
      <font>
        <color rgb="FFFF99FF"/>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b/>
        <i val="0"/>
        <color theme="8" tint="-0.499984740745262"/>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b/>
        <i val="0"/>
        <color theme="4"/>
      </font>
      <fill>
        <patternFill patternType="none"/>
      </fill>
    </dxf>
    <dxf>
      <font>
        <color theme="1"/>
      </font>
      <fill>
        <patternFill patternType="solid">
          <bgColor theme="0" tint="-0.499984740745262"/>
        </pattern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b/>
        <i val="0"/>
        <color theme="0"/>
      </font>
      <fill>
        <gradientFill degree="180">
          <stop position="0">
            <color theme="0"/>
          </stop>
          <stop position="1">
            <color theme="9" tint="-0.25098422193060094"/>
          </stop>
        </gradientFill>
      </fill>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s>
  <tableStyles count="0" defaultTableStyle="TableStyleMedium2" defaultPivotStyle="PivotStyleLight16"/>
  <colors>
    <mruColors>
      <color rgb="FFF7F7EB"/>
      <color rgb="FF00FFFF"/>
      <color rgb="FFFFF2CC"/>
      <color rgb="FFFFFF66"/>
      <color rgb="FF00FF00"/>
      <color rgb="FFFFFF99"/>
      <color rgb="FFFF3300"/>
      <color rgb="FFBDFFBD"/>
      <color rgb="FFEFE4F7"/>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256884</xdr:colOff>
      <xdr:row>12</xdr:row>
      <xdr:rowOff>259080</xdr:rowOff>
    </xdr:to>
    <xdr:sp macro="" textlink="">
      <xdr:nvSpPr>
        <xdr:cNvPr id="2" name="ellipse">
          <a:extLst>
            <a:ext uri="{FF2B5EF4-FFF2-40B4-BE49-F238E27FC236}">
              <a16:creationId xmlns:a16="http://schemas.microsoft.com/office/drawing/2014/main" id="{6BA39C8D-2207-4B72-B5FC-5B17392A18FC}"/>
            </a:ext>
          </a:extLst>
        </xdr:cNvPr>
        <xdr:cNvSpPr/>
      </xdr:nvSpPr>
      <xdr:spPr>
        <a:xfrm>
          <a:off x="0" y="2133600"/>
          <a:ext cx="1323684"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10</xdr:row>
      <xdr:rowOff>0</xdr:rowOff>
    </xdr:from>
    <xdr:to>
      <xdr:col>24</xdr:col>
      <xdr:colOff>0</xdr:colOff>
      <xdr:row>23</xdr:row>
      <xdr:rowOff>0</xdr:rowOff>
    </xdr:to>
    <xdr:sp macro="" textlink="">
      <xdr:nvSpPr>
        <xdr:cNvPr id="3" name="ellipse">
          <a:extLst>
            <a:ext uri="{FF2B5EF4-FFF2-40B4-BE49-F238E27FC236}">
              <a16:creationId xmlns:a16="http://schemas.microsoft.com/office/drawing/2014/main" id="{FAB126D1-2C4F-4517-A980-CD2FF2BE152C}"/>
            </a:ext>
          </a:extLst>
        </xdr:cNvPr>
        <xdr:cNvSpPr/>
      </xdr:nvSpPr>
      <xdr:spPr>
        <a:xfrm>
          <a:off x="2933700" y="2667000"/>
          <a:ext cx="3467100" cy="34671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35</xdr:col>
      <xdr:colOff>0</xdr:colOff>
      <xdr:row>8</xdr:row>
      <xdr:rowOff>15240</xdr:rowOff>
    </xdr:from>
    <xdr:to>
      <xdr:col>43</xdr:col>
      <xdr:colOff>0</xdr:colOff>
      <xdr:row>16</xdr:row>
      <xdr:rowOff>0</xdr:rowOff>
    </xdr:to>
    <xdr:sp macro="" textlink="">
      <xdr:nvSpPr>
        <xdr:cNvPr id="4" name="ellipse">
          <a:extLst>
            <a:ext uri="{FF2B5EF4-FFF2-40B4-BE49-F238E27FC236}">
              <a16:creationId xmlns:a16="http://schemas.microsoft.com/office/drawing/2014/main" id="{0EB791E6-430A-4FAD-8B2C-D84EAD255061}"/>
            </a:ext>
          </a:extLst>
        </xdr:cNvPr>
        <xdr:cNvSpPr/>
      </xdr:nvSpPr>
      <xdr:spPr>
        <a:xfrm>
          <a:off x="9334500" y="2148840"/>
          <a:ext cx="2133600" cy="21183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xdr:row>
      <xdr:rowOff>0</xdr:rowOff>
    </xdr:from>
    <xdr:to>
      <xdr:col>5</xdr:col>
      <xdr:colOff>0</xdr:colOff>
      <xdr:row>6</xdr:row>
      <xdr:rowOff>0</xdr:rowOff>
    </xdr:to>
    <xdr:sp macro="" textlink="">
      <xdr:nvSpPr>
        <xdr:cNvPr id="5" name="ellipse">
          <a:extLst>
            <a:ext uri="{FF2B5EF4-FFF2-40B4-BE49-F238E27FC236}">
              <a16:creationId xmlns:a16="http://schemas.microsoft.com/office/drawing/2014/main" id="{B5E99684-91DC-4DD9-BFF8-0D328690AE13}"/>
            </a:ext>
          </a:extLst>
        </xdr:cNvPr>
        <xdr:cNvSpPr/>
      </xdr:nvSpPr>
      <xdr:spPr>
        <a:xfrm>
          <a:off x="0" y="2667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11</xdr:row>
      <xdr:rowOff>7620</xdr:rowOff>
    </xdr:from>
    <xdr:to>
      <xdr:col>32</xdr:col>
      <xdr:colOff>0</xdr:colOff>
      <xdr:row>17</xdr:row>
      <xdr:rowOff>7620</xdr:rowOff>
    </xdr:to>
    <xdr:sp macro="" textlink="">
      <xdr:nvSpPr>
        <xdr:cNvPr id="6" name="ellipse">
          <a:extLst>
            <a:ext uri="{FF2B5EF4-FFF2-40B4-BE49-F238E27FC236}">
              <a16:creationId xmlns:a16="http://schemas.microsoft.com/office/drawing/2014/main" id="{6EC02EDA-E5A8-488B-8F5F-624C96B2F4FD}"/>
            </a:ext>
          </a:extLst>
        </xdr:cNvPr>
        <xdr:cNvSpPr/>
      </xdr:nvSpPr>
      <xdr:spPr>
        <a:xfrm>
          <a:off x="6934200" y="2941320"/>
          <a:ext cx="1600200" cy="16002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xdr:row>
      <xdr:rowOff>0</xdr:rowOff>
    </xdr:from>
    <xdr:to>
      <xdr:col>28</xdr:col>
      <xdr:colOff>0</xdr:colOff>
      <xdr:row>3</xdr:row>
      <xdr:rowOff>0</xdr:rowOff>
    </xdr:to>
    <xdr:sp macro="" textlink="">
      <xdr:nvSpPr>
        <xdr:cNvPr id="7" name="ellipse">
          <a:extLst>
            <a:ext uri="{FF2B5EF4-FFF2-40B4-BE49-F238E27FC236}">
              <a16:creationId xmlns:a16="http://schemas.microsoft.com/office/drawing/2014/main" id="{4C0FC732-C620-474C-A2C7-5EC66D8CE7B9}"/>
            </a:ext>
          </a:extLst>
        </xdr:cNvPr>
        <xdr:cNvSpPr/>
      </xdr:nvSpPr>
      <xdr:spPr>
        <a:xfrm>
          <a:off x="6934200" y="266700"/>
          <a:ext cx="533400" cy="533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25</xdr:col>
      <xdr:colOff>267387</xdr:colOff>
      <xdr:row>5</xdr:row>
      <xdr:rowOff>0</xdr:rowOff>
    </xdr:from>
    <xdr:to>
      <xdr:col>30</xdr:col>
      <xdr:colOff>0</xdr:colOff>
      <xdr:row>9</xdr:row>
      <xdr:rowOff>0</xdr:rowOff>
    </xdr:to>
    <xdr:sp macro="" textlink="">
      <xdr:nvSpPr>
        <xdr:cNvPr id="8" name="ellipse">
          <a:extLst>
            <a:ext uri="{FF2B5EF4-FFF2-40B4-BE49-F238E27FC236}">
              <a16:creationId xmlns:a16="http://schemas.microsoft.com/office/drawing/2014/main" id="{98C5E4FE-70C8-4026-AE52-6309622B309C}"/>
            </a:ext>
          </a:extLst>
        </xdr:cNvPr>
        <xdr:cNvSpPr/>
      </xdr:nvSpPr>
      <xdr:spPr>
        <a:xfrm>
          <a:off x="6934887" y="1333500"/>
          <a:ext cx="1066113" cy="10668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xdr:row>
      <xdr:rowOff>0</xdr:rowOff>
    </xdr:from>
    <xdr:to>
      <xdr:col>18</xdr:col>
      <xdr:colOff>0</xdr:colOff>
      <xdr:row>8</xdr:row>
      <xdr:rowOff>0</xdr:rowOff>
    </xdr:to>
    <xdr:sp macro="" textlink="">
      <xdr:nvSpPr>
        <xdr:cNvPr id="9" name="ellipse">
          <a:extLst>
            <a:ext uri="{FF2B5EF4-FFF2-40B4-BE49-F238E27FC236}">
              <a16:creationId xmlns:a16="http://schemas.microsoft.com/office/drawing/2014/main" id="{59148736-D451-4C0E-896D-6438497A0F9A}"/>
            </a:ext>
          </a:extLst>
        </xdr:cNvPr>
        <xdr:cNvSpPr/>
      </xdr:nvSpPr>
      <xdr:spPr>
        <a:xfrm>
          <a:off x="2933700" y="266700"/>
          <a:ext cx="1866900" cy="18669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8</xdr:row>
      <xdr:rowOff>0</xdr:rowOff>
    </xdr:from>
    <xdr:to>
      <xdr:col>5</xdr:col>
      <xdr:colOff>256884</xdr:colOff>
      <xdr:row>13</xdr:row>
      <xdr:rowOff>0</xdr:rowOff>
    </xdr:to>
    <xdr:sp macro="" textlink="">
      <xdr:nvSpPr>
        <xdr:cNvPr id="10" name="ellipse">
          <a:extLst>
            <a:ext uri="{FF2B5EF4-FFF2-40B4-BE49-F238E27FC236}">
              <a16:creationId xmlns:a16="http://schemas.microsoft.com/office/drawing/2014/main" id="{B0416EFB-2FCD-4B21-8945-881C8F82362D}"/>
            </a:ext>
          </a:extLst>
        </xdr:cNvPr>
        <xdr:cNvSpPr/>
      </xdr:nvSpPr>
      <xdr:spPr>
        <a:xfrm>
          <a:off x="266700" y="2133600"/>
          <a:ext cx="1323684"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9</xdr:row>
      <xdr:rowOff>0</xdr:rowOff>
    </xdr:from>
    <xdr:to>
      <xdr:col>4</xdr:col>
      <xdr:colOff>256884</xdr:colOff>
      <xdr:row>13</xdr:row>
      <xdr:rowOff>251460</xdr:rowOff>
    </xdr:to>
    <xdr:sp macro="" textlink="">
      <xdr:nvSpPr>
        <xdr:cNvPr id="11" name="ellipse">
          <a:extLst>
            <a:ext uri="{FF2B5EF4-FFF2-40B4-BE49-F238E27FC236}">
              <a16:creationId xmlns:a16="http://schemas.microsoft.com/office/drawing/2014/main" id="{7C62E3BD-7C20-431E-A3C5-3124541DCE4C}"/>
            </a:ext>
          </a:extLst>
        </xdr:cNvPr>
        <xdr:cNvSpPr/>
      </xdr:nvSpPr>
      <xdr:spPr>
        <a:xfrm>
          <a:off x="0" y="2400300"/>
          <a:ext cx="1323684" cy="13182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9</xdr:row>
      <xdr:rowOff>0</xdr:rowOff>
    </xdr:from>
    <xdr:to>
      <xdr:col>5</xdr:col>
      <xdr:colOff>256884</xdr:colOff>
      <xdr:row>13</xdr:row>
      <xdr:rowOff>259080</xdr:rowOff>
    </xdr:to>
    <xdr:sp macro="" textlink="">
      <xdr:nvSpPr>
        <xdr:cNvPr id="12" name="ellipse">
          <a:extLst>
            <a:ext uri="{FF2B5EF4-FFF2-40B4-BE49-F238E27FC236}">
              <a16:creationId xmlns:a16="http://schemas.microsoft.com/office/drawing/2014/main" id="{0F587B15-508F-4C40-AD64-BD86F2DE59D1}"/>
            </a:ext>
          </a:extLst>
        </xdr:cNvPr>
        <xdr:cNvSpPr/>
      </xdr:nvSpPr>
      <xdr:spPr>
        <a:xfrm>
          <a:off x="266700" y="2400300"/>
          <a:ext cx="1323684"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16</xdr:row>
      <xdr:rowOff>0</xdr:rowOff>
    </xdr:from>
    <xdr:to>
      <xdr:col>4</xdr:col>
      <xdr:colOff>256884</xdr:colOff>
      <xdr:row>21</xdr:row>
      <xdr:rowOff>0</xdr:rowOff>
    </xdr:to>
    <xdr:sp macro="" textlink="">
      <xdr:nvSpPr>
        <xdr:cNvPr id="13" name="ellipse">
          <a:extLst>
            <a:ext uri="{FF2B5EF4-FFF2-40B4-BE49-F238E27FC236}">
              <a16:creationId xmlns:a16="http://schemas.microsoft.com/office/drawing/2014/main" id="{CF8C02B5-C2E7-4535-80E7-EA5278D9F45D}"/>
            </a:ext>
          </a:extLst>
        </xdr:cNvPr>
        <xdr:cNvSpPr/>
      </xdr:nvSpPr>
      <xdr:spPr>
        <a:xfrm>
          <a:off x="0" y="4267200"/>
          <a:ext cx="1323684"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16</xdr:row>
      <xdr:rowOff>0</xdr:rowOff>
    </xdr:from>
    <xdr:to>
      <xdr:col>7</xdr:col>
      <xdr:colOff>0</xdr:colOff>
      <xdr:row>21</xdr:row>
      <xdr:rowOff>0</xdr:rowOff>
    </xdr:to>
    <xdr:sp macro="" textlink="">
      <xdr:nvSpPr>
        <xdr:cNvPr id="14" name="ellipse">
          <a:extLst>
            <a:ext uri="{FF2B5EF4-FFF2-40B4-BE49-F238E27FC236}">
              <a16:creationId xmlns:a16="http://schemas.microsoft.com/office/drawing/2014/main" id="{F3678D44-291E-4E4C-A132-44673DB19B45}"/>
            </a:ext>
          </a:extLst>
        </xdr:cNvPr>
        <xdr:cNvSpPr/>
      </xdr:nvSpPr>
      <xdr:spPr>
        <a:xfrm>
          <a:off x="533400" y="42672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18</xdr:row>
      <xdr:rowOff>0</xdr:rowOff>
    </xdr:from>
    <xdr:to>
      <xdr:col>7</xdr:col>
      <xdr:colOff>0</xdr:colOff>
      <xdr:row>23</xdr:row>
      <xdr:rowOff>0</xdr:rowOff>
    </xdr:to>
    <xdr:sp macro="" textlink="">
      <xdr:nvSpPr>
        <xdr:cNvPr id="15" name="ellipse">
          <a:extLst>
            <a:ext uri="{FF2B5EF4-FFF2-40B4-BE49-F238E27FC236}">
              <a16:creationId xmlns:a16="http://schemas.microsoft.com/office/drawing/2014/main" id="{21807EB5-339A-4136-BD81-A02A41325FD8}"/>
            </a:ext>
          </a:extLst>
        </xdr:cNvPr>
        <xdr:cNvSpPr/>
      </xdr:nvSpPr>
      <xdr:spPr>
        <a:xfrm>
          <a:off x="533400" y="48006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18</xdr:row>
      <xdr:rowOff>1</xdr:rowOff>
    </xdr:from>
    <xdr:to>
      <xdr:col>5</xdr:col>
      <xdr:colOff>0</xdr:colOff>
      <xdr:row>23</xdr:row>
      <xdr:rowOff>7</xdr:rowOff>
    </xdr:to>
    <xdr:sp macro="" textlink="">
      <xdr:nvSpPr>
        <xdr:cNvPr id="16" name="ellipse">
          <a:extLst>
            <a:ext uri="{FF2B5EF4-FFF2-40B4-BE49-F238E27FC236}">
              <a16:creationId xmlns:a16="http://schemas.microsoft.com/office/drawing/2014/main" id="{EAD8226B-650C-4992-97C4-AA30D36A678C}"/>
            </a:ext>
          </a:extLst>
        </xdr:cNvPr>
        <xdr:cNvSpPr/>
      </xdr:nvSpPr>
      <xdr:spPr>
        <a:xfrm>
          <a:off x="0" y="4800601"/>
          <a:ext cx="1333500" cy="1333506"/>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83820</xdr:colOff>
      <xdr:row>1</xdr:row>
      <xdr:rowOff>0</xdr:rowOff>
    </xdr:from>
    <xdr:to>
      <xdr:col>16</xdr:col>
      <xdr:colOff>342900</xdr:colOff>
      <xdr:row>15</xdr:row>
      <xdr:rowOff>76200</xdr:rowOff>
    </xdr:to>
    <xdr:sp macro="" textlink="">
      <xdr:nvSpPr>
        <xdr:cNvPr id="3" name="文本框 2">
          <a:extLst>
            <a:ext uri="{FF2B5EF4-FFF2-40B4-BE49-F238E27FC236}">
              <a16:creationId xmlns:a16="http://schemas.microsoft.com/office/drawing/2014/main" id="{98CDF4F2-51F7-411B-9801-C6BD758493D6}"/>
            </a:ext>
          </a:extLst>
        </xdr:cNvPr>
        <xdr:cNvSpPr txBox="1"/>
      </xdr:nvSpPr>
      <xdr:spPr>
        <a:xfrm>
          <a:off x="7399020" y="182880"/>
          <a:ext cx="2697480" cy="2636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zh-CN"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8965</xdr:colOff>
      <xdr:row>13</xdr:row>
      <xdr:rowOff>8964</xdr:rowOff>
    </xdr:from>
    <xdr:to>
      <xdr:col>3</xdr:col>
      <xdr:colOff>222619</xdr:colOff>
      <xdr:row>17</xdr:row>
      <xdr:rowOff>0</xdr:rowOff>
    </xdr:to>
    <xdr:pic>
      <xdr:nvPicPr>
        <xdr:cNvPr id="2" name="图片 1">
          <a:extLst>
            <a:ext uri="{FF2B5EF4-FFF2-40B4-BE49-F238E27FC236}">
              <a16:creationId xmlns:a16="http://schemas.microsoft.com/office/drawing/2014/main" id="{E206653A-175B-41F5-B7C0-DE751580FD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28330" y="2339788"/>
          <a:ext cx="733607" cy="7082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tor\Desktop\dnd5e&#20154;&#29289;&#21345;&#27169;&#26495;v1.83&#947;%20ff.xlsm" TargetMode="External"/><Relationship Id="rId1" Type="http://schemas.openxmlformats.org/officeDocument/2006/relationships/externalLinkPath" Target="file:///C:\Users\Administrator\Desktop\dnd5e&#20154;&#29289;&#21345;&#27169;&#26495;v1.83&#947;%20ff.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IGGYSeven\TRPG\DND5E\&#20882;&#38505;&#32773;\DND5E2024&#20154;&#29289;&#21345;&#65288;&#24754;&#28789;v0.3.0.2&#65289;.xlsm" TargetMode="External"/><Relationship Id="rId1" Type="http://schemas.openxmlformats.org/officeDocument/2006/relationships/externalLinkPath" Target="DND5E2024&#20154;&#29289;&#21345;&#65288;&#24754;&#28789;v0.3.0.2&#65289;.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IGGYSeven\TRPG\DND5E\&#20882;&#38505;&#32773;\DND5E24&#20154;&#29289;&#21345;-&#24754;&#28789;v0.3.3.1.xlsx" TargetMode="External"/><Relationship Id="rId1" Type="http://schemas.openxmlformats.org/officeDocument/2006/relationships/externalLinkPath" Target="DND5E24&#20154;&#29289;&#21345;-&#24754;&#28789;v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角色"/>
      <sheetName val="主要情况"/>
      <sheetName val="背包"/>
      <sheetName val="施法"/>
      <sheetName val="法术大全"/>
      <sheetName val="图表"/>
      <sheetName val="属性计算器&amp;自定义调整栏"/>
      <sheetName val="导入海豹骰或梨骰"/>
      <sheetName val="更新日志&amp;在线更新"/>
      <sheetName val="录卡"/>
    </sheetNames>
    <sheetDataSet>
      <sheetData sheetId="0"/>
      <sheetData sheetId="1">
        <row r="8">
          <cell r="G8">
            <v>3</v>
          </cell>
        </row>
        <row r="10">
          <cell r="G10">
            <v>0</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背景"/>
      <sheetName val="主要"/>
      <sheetName val="数据表"/>
      <sheetName val="专长"/>
      <sheetName val="职业"/>
      <sheetName val="装备"/>
      <sheetName val="种族"/>
      <sheetName val="背景数据"/>
      <sheetName val="背包"/>
      <sheetName val="盟友与魔宠"/>
      <sheetName val="据点"/>
      <sheetName val="法术书及法术查询"/>
      <sheetName val="法术大全"/>
      <sheetName val="自定义调整栏"/>
      <sheetName val="骰娘导入"/>
      <sheetName val="更新"/>
      <sheetName val=" "/>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背景"/>
      <sheetName val="主要"/>
      <sheetName val="数据表"/>
      <sheetName val="专长"/>
      <sheetName val="职业"/>
      <sheetName val="装备"/>
      <sheetName val="种族"/>
      <sheetName val="背景数据"/>
      <sheetName val="背包"/>
      <sheetName val="盟友与魔宠"/>
      <sheetName val="据点"/>
      <sheetName val="法术书"/>
      <sheetName val="法术大全"/>
      <sheetName val="自定义调整栏"/>
      <sheetName val="圆形效应范围"/>
      <sheetName val="骰娘导入"/>
      <sheetName val="更新"/>
      <sheetName v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wrap="square" rtlCol="0" anchor="t"/>
      <a:lstStyle>
        <a:defPPr algn="l">
          <a:defRPr lang="zh-CN" altLang="en-US" sz="1100"/>
        </a:defPPr>
      </a:lstStyle>
      <a:style>
        <a:lnRef idx="2">
          <a:schemeClr val="accent1"/>
        </a:lnRef>
        <a:fillRef idx="1">
          <a:schemeClr val="lt1"/>
        </a:fillRef>
        <a:effectRef idx="0">
          <a:schemeClr val="accent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N33"/>
  <sheetViews>
    <sheetView workbookViewId="0">
      <selection activeCell="AE97" sqref="AE97:AI97"/>
    </sheetView>
  </sheetViews>
  <sheetFormatPr defaultColWidth="2.77734375" defaultRowHeight="16.95" customHeight="1"/>
  <cols>
    <col min="1" max="16384" width="2.77734375" style="4"/>
  </cols>
  <sheetData>
    <row r="1" spans="1:66" ht="16.95" customHeight="1">
      <c r="A1" s="537" t="s">
        <v>0</v>
      </c>
      <c r="B1" s="537"/>
      <c r="C1" s="537"/>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7"/>
      <c r="AD1" s="537"/>
      <c r="AE1" s="537"/>
      <c r="AF1" s="537"/>
      <c r="AG1" s="537"/>
      <c r="AH1" s="537"/>
      <c r="AI1" s="537"/>
      <c r="AJ1" s="537"/>
      <c r="AK1" s="537"/>
      <c r="AL1" s="537"/>
      <c r="AM1" s="537"/>
      <c r="AN1" s="537"/>
      <c r="AO1" s="537"/>
      <c r="AP1" s="537"/>
      <c r="AQ1" s="537"/>
      <c r="AR1" s="537"/>
      <c r="AS1" s="537"/>
      <c r="AT1" s="537"/>
      <c r="AU1" s="537"/>
      <c r="AV1" s="537"/>
      <c r="AW1" s="537"/>
      <c r="AX1" s="537"/>
      <c r="AY1" s="537"/>
      <c r="AZ1" s="537"/>
      <c r="BA1" s="537"/>
      <c r="BB1" s="537"/>
      <c r="BC1" s="537"/>
      <c r="BD1" s="537"/>
      <c r="BE1" s="537"/>
      <c r="BF1" s="537"/>
      <c r="BG1" s="537"/>
      <c r="BH1" s="537"/>
      <c r="BI1" s="537"/>
      <c r="BJ1" s="537"/>
      <c r="BK1" s="537"/>
      <c r="BL1" s="537"/>
      <c r="BM1" s="537"/>
      <c r="BN1" s="537"/>
    </row>
    <row r="2" spans="1:66" ht="7.95" customHeight="1"/>
    <row r="3" spans="1:66" ht="16.95" customHeight="1">
      <c r="B3" s="729" t="s">
        <v>1</v>
      </c>
      <c r="C3" s="729"/>
      <c r="D3" s="729"/>
      <c r="E3" s="580"/>
      <c r="F3" s="580"/>
      <c r="G3" s="580"/>
      <c r="H3" s="580"/>
      <c r="I3" s="580"/>
      <c r="J3" s="580"/>
      <c r="K3" s="580"/>
      <c r="L3" s="580"/>
      <c r="M3" s="580"/>
      <c r="O3" s="641" t="s">
        <v>6083</v>
      </c>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P3" s="736" t="s">
        <v>8</v>
      </c>
      <c r="AQ3" s="737"/>
      <c r="AR3" s="737"/>
      <c r="AS3" s="737"/>
      <c r="AT3" s="737"/>
      <c r="AU3" s="737"/>
      <c r="AV3" s="737"/>
      <c r="AW3" s="737"/>
      <c r="AX3" s="737"/>
      <c r="AY3" s="737"/>
      <c r="AZ3" s="737"/>
      <c r="BA3" s="737"/>
      <c r="BB3" s="737"/>
      <c r="BC3" s="737"/>
      <c r="BD3" s="737"/>
      <c r="BE3" s="737"/>
      <c r="BF3" s="737"/>
      <c r="BG3" s="737"/>
      <c r="BH3" s="737"/>
      <c r="BI3" s="737"/>
      <c r="BJ3" s="737"/>
      <c r="BK3" s="737"/>
      <c r="BL3" s="737"/>
      <c r="BM3" s="738"/>
    </row>
    <row r="4" spans="1:66" ht="16.95" customHeight="1">
      <c r="B4" s="731" t="s">
        <v>3</v>
      </c>
      <c r="C4" s="731"/>
      <c r="D4" s="731"/>
      <c r="E4" s="612"/>
      <c r="F4" s="612"/>
      <c r="G4" s="612"/>
      <c r="H4" s="612"/>
      <c r="I4" s="612"/>
      <c r="J4" s="612"/>
      <c r="K4" s="612"/>
      <c r="L4" s="612"/>
      <c r="M4" s="612"/>
      <c r="O4" s="739" t="s">
        <v>5958</v>
      </c>
      <c r="P4" s="739"/>
      <c r="Q4" s="739"/>
      <c r="R4" s="739"/>
      <c r="S4" s="760" t="str">
        <f>背景数据!Q2</f>
        <v/>
      </c>
      <c r="T4" s="761"/>
      <c r="U4" s="761"/>
      <c r="V4" s="761"/>
      <c r="W4" s="761"/>
      <c r="X4" s="761"/>
      <c r="Y4" s="761"/>
      <c r="Z4" s="761"/>
      <c r="AA4" s="761"/>
      <c r="AB4" s="761"/>
      <c r="AC4" s="761"/>
      <c r="AD4" s="761"/>
      <c r="AE4" s="761"/>
      <c r="AF4" s="761"/>
      <c r="AG4" s="761"/>
      <c r="AH4" s="761"/>
      <c r="AI4" s="761"/>
      <c r="AJ4" s="761"/>
      <c r="AK4" s="761"/>
      <c r="AL4" s="761"/>
      <c r="AM4" s="761"/>
      <c r="AN4" s="762"/>
      <c r="AP4" s="751" t="str">
        <f>背景数据!P2</f>
        <v/>
      </c>
      <c r="AQ4" s="752"/>
      <c r="AR4" s="752"/>
      <c r="AS4" s="752"/>
      <c r="AT4" s="752"/>
      <c r="AU4" s="752"/>
      <c r="AV4" s="752"/>
      <c r="AW4" s="752"/>
      <c r="AX4" s="752"/>
      <c r="AY4" s="752"/>
      <c r="AZ4" s="752"/>
      <c r="BA4" s="752"/>
      <c r="BB4" s="752"/>
      <c r="BC4" s="752"/>
      <c r="BD4" s="752"/>
      <c r="BE4" s="752"/>
      <c r="BF4" s="752"/>
      <c r="BG4" s="752"/>
      <c r="BH4" s="752"/>
      <c r="BI4" s="752"/>
      <c r="BJ4" s="752"/>
      <c r="BK4" s="752"/>
      <c r="BL4" s="752"/>
      <c r="BM4" s="753"/>
    </row>
    <row r="5" spans="1:66" ht="16.95" customHeight="1">
      <c r="B5" s="731" t="s">
        <v>4</v>
      </c>
      <c r="C5" s="731"/>
      <c r="D5" s="731"/>
      <c r="E5" s="580"/>
      <c r="F5" s="580"/>
      <c r="G5" s="580"/>
      <c r="H5" s="580"/>
      <c r="I5" s="580"/>
      <c r="J5" s="580"/>
      <c r="K5" s="580"/>
      <c r="L5" s="580"/>
      <c r="M5" s="580"/>
      <c r="O5" s="763" t="s">
        <v>6084</v>
      </c>
      <c r="P5" s="763"/>
      <c r="Q5" s="763"/>
      <c r="R5" s="763"/>
      <c r="S5" s="611" t="str">
        <f>背景数据!S2</f>
        <v/>
      </c>
      <c r="T5" s="611"/>
      <c r="U5" s="611"/>
      <c r="V5" s="611"/>
      <c r="W5" s="611"/>
      <c r="X5" s="611"/>
      <c r="Y5" s="611"/>
      <c r="Z5" s="611"/>
      <c r="AA5" s="611"/>
      <c r="AB5" s="611"/>
      <c r="AC5" s="611"/>
      <c r="AD5" s="611"/>
      <c r="AE5" s="611"/>
      <c r="AF5" s="611"/>
      <c r="AG5" s="611"/>
      <c r="AH5" s="611"/>
      <c r="AI5" s="611"/>
      <c r="AJ5" s="611"/>
      <c r="AK5" s="611"/>
      <c r="AL5" s="611"/>
      <c r="AM5" s="611"/>
      <c r="AN5" s="611"/>
      <c r="AP5" s="754"/>
      <c r="AQ5" s="755"/>
      <c r="AR5" s="755"/>
      <c r="AS5" s="755"/>
      <c r="AT5" s="755"/>
      <c r="AU5" s="755"/>
      <c r="AV5" s="755"/>
      <c r="AW5" s="755"/>
      <c r="AX5" s="755"/>
      <c r="AY5" s="755"/>
      <c r="AZ5" s="755"/>
      <c r="BA5" s="755"/>
      <c r="BB5" s="755"/>
      <c r="BC5" s="755"/>
      <c r="BD5" s="755"/>
      <c r="BE5" s="755"/>
      <c r="BF5" s="755"/>
      <c r="BG5" s="755"/>
      <c r="BH5" s="755"/>
      <c r="BI5" s="755"/>
      <c r="BJ5" s="755"/>
      <c r="BK5" s="755"/>
      <c r="BL5" s="755"/>
      <c r="BM5" s="756"/>
    </row>
    <row r="6" spans="1:66" ht="16.95" customHeight="1">
      <c r="B6" s="735" t="s">
        <v>5277</v>
      </c>
      <c r="C6" s="735"/>
      <c r="D6" s="735"/>
      <c r="E6" s="612"/>
      <c r="F6" s="612"/>
      <c r="G6" s="612"/>
      <c r="H6" s="612"/>
      <c r="I6" s="612"/>
      <c r="J6" s="612"/>
      <c r="K6" s="612"/>
      <c r="L6" s="612"/>
      <c r="M6" s="612"/>
      <c r="O6" s="728" t="s">
        <v>546</v>
      </c>
      <c r="P6" s="728"/>
      <c r="Q6" s="728"/>
      <c r="R6" s="728"/>
      <c r="S6" s="764" t="str">
        <f>背景数据!T2</f>
        <v/>
      </c>
      <c r="T6" s="764"/>
      <c r="U6" s="764"/>
      <c r="V6" s="764"/>
      <c r="W6" s="764"/>
      <c r="X6" s="764"/>
      <c r="Y6" s="764"/>
      <c r="Z6" s="764"/>
      <c r="AA6" s="764"/>
      <c r="AB6" s="764"/>
      <c r="AC6" s="764"/>
      <c r="AD6" s="764"/>
      <c r="AE6" s="764"/>
      <c r="AF6" s="764"/>
      <c r="AG6" s="764"/>
      <c r="AH6" s="764"/>
      <c r="AI6" s="764"/>
      <c r="AJ6" s="764"/>
      <c r="AK6" s="764"/>
      <c r="AL6" s="764"/>
      <c r="AM6" s="764"/>
      <c r="AN6" s="764"/>
      <c r="AP6" s="754"/>
      <c r="AQ6" s="755"/>
      <c r="AR6" s="755"/>
      <c r="AS6" s="755"/>
      <c r="AT6" s="755"/>
      <c r="AU6" s="755"/>
      <c r="AV6" s="755"/>
      <c r="AW6" s="755"/>
      <c r="AX6" s="755"/>
      <c r="AY6" s="755"/>
      <c r="AZ6" s="755"/>
      <c r="BA6" s="755"/>
      <c r="BB6" s="755"/>
      <c r="BC6" s="755"/>
      <c r="BD6" s="755"/>
      <c r="BE6" s="755"/>
      <c r="BF6" s="755"/>
      <c r="BG6" s="755"/>
      <c r="BH6" s="755"/>
      <c r="BI6" s="755"/>
      <c r="BJ6" s="755"/>
      <c r="BK6" s="755"/>
      <c r="BL6" s="755"/>
      <c r="BM6" s="756"/>
    </row>
    <row r="7" spans="1:66" ht="16.95" customHeight="1">
      <c r="O7" s="746" t="s">
        <v>6085</v>
      </c>
      <c r="P7" s="746"/>
      <c r="Q7" s="746"/>
      <c r="R7" s="746"/>
      <c r="S7" s="747" t="str">
        <f>背景数据!U2</f>
        <v/>
      </c>
      <c r="T7" s="747"/>
      <c r="U7" s="747"/>
      <c r="V7" s="747"/>
      <c r="W7" s="747"/>
      <c r="X7" s="747"/>
      <c r="Y7" s="747"/>
      <c r="Z7" s="747"/>
      <c r="AA7" s="747"/>
      <c r="AB7" s="747"/>
      <c r="AC7" s="747"/>
      <c r="AD7" s="747"/>
      <c r="AE7" s="747"/>
      <c r="AF7" s="747"/>
      <c r="AG7" s="747"/>
      <c r="AH7" s="747"/>
      <c r="AI7" s="747"/>
      <c r="AJ7" s="747"/>
      <c r="AK7" s="747"/>
      <c r="AL7" s="747"/>
      <c r="AM7" s="747"/>
      <c r="AN7" s="747"/>
      <c r="AP7" s="754"/>
      <c r="AQ7" s="755"/>
      <c r="AR7" s="755"/>
      <c r="AS7" s="755"/>
      <c r="AT7" s="755"/>
      <c r="AU7" s="755"/>
      <c r="AV7" s="755"/>
      <c r="AW7" s="755"/>
      <c r="AX7" s="755"/>
      <c r="AY7" s="755"/>
      <c r="AZ7" s="755"/>
      <c r="BA7" s="755"/>
      <c r="BB7" s="755"/>
      <c r="BC7" s="755"/>
      <c r="BD7" s="755"/>
      <c r="BE7" s="755"/>
      <c r="BF7" s="755"/>
      <c r="BG7" s="755"/>
      <c r="BH7" s="755"/>
      <c r="BI7" s="755"/>
      <c r="BJ7" s="755"/>
      <c r="BK7" s="755"/>
      <c r="BL7" s="755"/>
      <c r="BM7" s="756"/>
    </row>
    <row r="8" spans="1:66" ht="16.95" customHeight="1">
      <c r="B8" s="733" t="s">
        <v>5282</v>
      </c>
      <c r="C8" s="733"/>
      <c r="D8" s="733"/>
      <c r="E8" s="580"/>
      <c r="F8" s="580"/>
      <c r="G8" s="580"/>
      <c r="H8" s="729" t="s">
        <v>5279</v>
      </c>
      <c r="I8" s="729"/>
      <c r="J8" s="729"/>
      <c r="K8" s="580"/>
      <c r="L8" s="580"/>
      <c r="M8" s="580"/>
      <c r="O8" s="734"/>
      <c r="P8" s="734"/>
      <c r="Q8" s="734"/>
      <c r="R8" s="734"/>
      <c r="S8" s="747"/>
      <c r="T8" s="747"/>
      <c r="U8" s="747"/>
      <c r="V8" s="747"/>
      <c r="W8" s="747"/>
      <c r="X8" s="747"/>
      <c r="Y8" s="747"/>
      <c r="Z8" s="747"/>
      <c r="AA8" s="747"/>
      <c r="AB8" s="747"/>
      <c r="AC8" s="747"/>
      <c r="AD8" s="747"/>
      <c r="AE8" s="747"/>
      <c r="AF8" s="747"/>
      <c r="AG8" s="747"/>
      <c r="AH8" s="747"/>
      <c r="AI8" s="747"/>
      <c r="AJ8" s="747"/>
      <c r="AK8" s="747"/>
      <c r="AL8" s="747"/>
      <c r="AM8" s="747"/>
      <c r="AN8" s="747"/>
      <c r="AP8" s="754"/>
      <c r="AQ8" s="755"/>
      <c r="AR8" s="755"/>
      <c r="AS8" s="755"/>
      <c r="AT8" s="755"/>
      <c r="AU8" s="755"/>
      <c r="AV8" s="755"/>
      <c r="AW8" s="755"/>
      <c r="AX8" s="755"/>
      <c r="AY8" s="755"/>
      <c r="AZ8" s="755"/>
      <c r="BA8" s="755"/>
      <c r="BB8" s="755"/>
      <c r="BC8" s="755"/>
      <c r="BD8" s="755"/>
      <c r="BE8" s="755"/>
      <c r="BF8" s="755"/>
      <c r="BG8" s="755"/>
      <c r="BH8" s="755"/>
      <c r="BI8" s="755"/>
      <c r="BJ8" s="755"/>
      <c r="BK8" s="755"/>
      <c r="BL8" s="755"/>
      <c r="BM8" s="756"/>
    </row>
    <row r="9" spans="1:66" ht="16.95" customHeight="1">
      <c r="B9" s="735" t="s">
        <v>5278</v>
      </c>
      <c r="C9" s="735"/>
      <c r="D9" s="735"/>
      <c r="E9" s="612"/>
      <c r="F9" s="612"/>
      <c r="G9" s="612"/>
      <c r="H9" s="735" t="s">
        <v>5280</v>
      </c>
      <c r="I9" s="735"/>
      <c r="J9" s="735"/>
      <c r="K9" s="612"/>
      <c r="L9" s="612"/>
      <c r="M9" s="612"/>
      <c r="O9" s="734"/>
      <c r="P9" s="734"/>
      <c r="Q9" s="734"/>
      <c r="R9" s="734"/>
      <c r="S9" s="747"/>
      <c r="T9" s="747"/>
      <c r="U9" s="747"/>
      <c r="V9" s="747"/>
      <c r="W9" s="747"/>
      <c r="X9" s="747"/>
      <c r="Y9" s="747"/>
      <c r="Z9" s="747"/>
      <c r="AA9" s="747"/>
      <c r="AB9" s="747"/>
      <c r="AC9" s="747"/>
      <c r="AD9" s="747"/>
      <c r="AE9" s="747"/>
      <c r="AF9" s="747"/>
      <c r="AG9" s="747"/>
      <c r="AH9" s="747"/>
      <c r="AI9" s="747"/>
      <c r="AJ9" s="747"/>
      <c r="AK9" s="747"/>
      <c r="AL9" s="747"/>
      <c r="AM9" s="747"/>
      <c r="AN9" s="747"/>
      <c r="AP9" s="757"/>
      <c r="AQ9" s="758"/>
      <c r="AR9" s="758"/>
      <c r="AS9" s="758"/>
      <c r="AT9" s="758"/>
      <c r="AU9" s="758"/>
      <c r="AV9" s="758"/>
      <c r="AW9" s="758"/>
      <c r="AX9" s="758"/>
      <c r="AY9" s="758"/>
      <c r="AZ9" s="758"/>
      <c r="BA9" s="758"/>
      <c r="BB9" s="758"/>
      <c r="BC9" s="758"/>
      <c r="BD9" s="758"/>
      <c r="BE9" s="758"/>
      <c r="BF9" s="758"/>
      <c r="BG9" s="758"/>
      <c r="BH9" s="758"/>
      <c r="BI9" s="758"/>
      <c r="BJ9" s="758"/>
      <c r="BK9" s="758"/>
      <c r="BL9" s="758"/>
      <c r="BM9" s="759"/>
    </row>
    <row r="11" spans="1:66" ht="16.95" customHeight="1">
      <c r="B11" s="736" t="s">
        <v>9</v>
      </c>
      <c r="C11" s="737"/>
      <c r="D11" s="737"/>
      <c r="E11" s="737"/>
      <c r="F11" s="737"/>
      <c r="G11" s="737"/>
      <c r="H11" s="737"/>
      <c r="I11" s="737"/>
      <c r="J11" s="737"/>
      <c r="K11" s="737"/>
      <c r="L11" s="737"/>
      <c r="M11" s="738"/>
      <c r="O11" s="641" t="s">
        <v>2</v>
      </c>
      <c r="P11" s="641"/>
      <c r="Q11" s="641"/>
      <c r="R11" s="641"/>
      <c r="S11" s="730"/>
      <c r="T11" s="730"/>
      <c r="U11" s="730"/>
      <c r="V11" s="730"/>
      <c r="W11" s="730"/>
      <c r="X11" s="730"/>
      <c r="Y11" s="730"/>
      <c r="Z11" s="730"/>
      <c r="AA11" s="730"/>
      <c r="AB11" s="730"/>
      <c r="AC11" s="730"/>
      <c r="AD11" s="730"/>
      <c r="AE11" s="730"/>
      <c r="AF11" s="730"/>
      <c r="AG11" s="730"/>
      <c r="AH11" s="730"/>
      <c r="AI11" s="730"/>
      <c r="AJ11" s="730"/>
      <c r="AK11" s="730"/>
      <c r="AL11" s="730"/>
      <c r="AM11" s="730"/>
      <c r="AN11" s="730"/>
      <c r="AO11" s="730"/>
      <c r="AP11" s="730"/>
      <c r="AQ11" s="730"/>
      <c r="AR11" s="730"/>
      <c r="AS11" s="730"/>
      <c r="AT11" s="730"/>
      <c r="AV11" s="712" t="s">
        <v>6048</v>
      </c>
      <c r="AW11" s="712"/>
      <c r="AX11" s="712"/>
      <c r="AY11" s="712"/>
      <c r="AZ11" s="712"/>
      <c r="BA11" s="712"/>
      <c r="BB11" s="712"/>
      <c r="BC11" s="712"/>
      <c r="BD11" s="712"/>
      <c r="BE11" s="712"/>
      <c r="BF11" s="712"/>
      <c r="BG11" s="712"/>
      <c r="BH11" s="712"/>
      <c r="BI11" s="712"/>
      <c r="BJ11" s="712"/>
      <c r="BK11" s="712"/>
      <c r="BL11" s="712"/>
      <c r="BM11" s="712"/>
    </row>
    <row r="12" spans="1:66" ht="16.95" customHeight="1">
      <c r="B12" s="748"/>
      <c r="C12" s="749"/>
      <c r="D12" s="749"/>
      <c r="E12" s="749"/>
      <c r="F12" s="749"/>
      <c r="G12" s="749"/>
      <c r="H12" s="749"/>
      <c r="I12" s="749"/>
      <c r="J12" s="749"/>
      <c r="K12" s="749"/>
      <c r="L12" s="749"/>
      <c r="M12" s="750"/>
      <c r="O12" s="728"/>
      <c r="P12" s="728"/>
      <c r="Q12" s="728"/>
      <c r="R12" s="728"/>
      <c r="S12" s="732"/>
      <c r="T12" s="732"/>
      <c r="U12" s="732"/>
      <c r="V12" s="732"/>
      <c r="W12" s="732"/>
      <c r="X12" s="732"/>
      <c r="Y12" s="732"/>
      <c r="Z12" s="732"/>
      <c r="AA12" s="732"/>
      <c r="AB12" s="732"/>
      <c r="AC12" s="732"/>
      <c r="AD12" s="732"/>
      <c r="AE12" s="732"/>
      <c r="AF12" s="732"/>
      <c r="AG12" s="732"/>
      <c r="AH12" s="732"/>
      <c r="AI12" s="732"/>
      <c r="AJ12" s="732"/>
      <c r="AK12" s="732"/>
      <c r="AL12" s="732"/>
      <c r="AM12" s="732"/>
      <c r="AN12" s="732"/>
      <c r="AO12" s="732"/>
      <c r="AP12" s="732"/>
      <c r="AQ12" s="732"/>
      <c r="AR12" s="732"/>
      <c r="AS12" s="732"/>
      <c r="AT12" s="732"/>
      <c r="AV12" s="580"/>
      <c r="AW12" s="580"/>
      <c r="AX12" s="580"/>
      <c r="AY12" s="580"/>
      <c r="AZ12" s="580"/>
      <c r="BA12" s="580"/>
      <c r="BB12" s="580"/>
      <c r="BC12" s="580"/>
      <c r="BD12" s="580"/>
      <c r="BE12" s="580"/>
      <c r="BF12" s="580"/>
      <c r="BG12" s="580"/>
      <c r="BH12" s="580"/>
      <c r="BI12" s="580"/>
      <c r="BJ12" s="580"/>
      <c r="BK12" s="580"/>
      <c r="BL12" s="580"/>
      <c r="BM12" s="580"/>
    </row>
    <row r="13" spans="1:66" ht="16.95" customHeight="1">
      <c r="B13" s="748"/>
      <c r="C13" s="749"/>
      <c r="D13" s="749"/>
      <c r="E13" s="749"/>
      <c r="F13" s="749"/>
      <c r="G13" s="749"/>
      <c r="H13" s="749"/>
      <c r="I13" s="749"/>
      <c r="J13" s="749"/>
      <c r="K13" s="749"/>
      <c r="L13" s="749"/>
      <c r="M13" s="750"/>
      <c r="O13" s="728" t="s">
        <v>5</v>
      </c>
      <c r="P13" s="728"/>
      <c r="Q13" s="728"/>
      <c r="R13" s="728"/>
      <c r="S13" s="730"/>
      <c r="T13" s="730"/>
      <c r="U13" s="730"/>
      <c r="V13" s="730"/>
      <c r="W13" s="730"/>
      <c r="X13" s="730"/>
      <c r="Y13" s="730"/>
      <c r="Z13" s="730"/>
      <c r="AA13" s="730"/>
      <c r="AB13" s="730"/>
      <c r="AC13" s="730"/>
      <c r="AD13" s="730"/>
      <c r="AE13" s="730"/>
      <c r="AF13" s="730"/>
      <c r="AG13" s="730"/>
      <c r="AH13" s="730"/>
      <c r="AI13" s="730"/>
      <c r="AJ13" s="730"/>
      <c r="AK13" s="730"/>
      <c r="AL13" s="730"/>
      <c r="AM13" s="730"/>
      <c r="AN13" s="730"/>
      <c r="AO13" s="730"/>
      <c r="AP13" s="730"/>
      <c r="AQ13" s="730"/>
      <c r="AR13" s="730"/>
      <c r="AS13" s="730"/>
      <c r="AT13" s="730"/>
      <c r="AV13" s="580"/>
      <c r="AW13" s="580"/>
      <c r="AX13" s="580"/>
      <c r="AY13" s="580"/>
      <c r="AZ13" s="580"/>
      <c r="BA13" s="580"/>
      <c r="BB13" s="580"/>
      <c r="BC13" s="580"/>
      <c r="BD13" s="580"/>
      <c r="BE13" s="580"/>
      <c r="BF13" s="580"/>
      <c r="BG13" s="580"/>
      <c r="BH13" s="580"/>
      <c r="BI13" s="580"/>
      <c r="BJ13" s="580"/>
      <c r="BK13" s="580"/>
      <c r="BL13" s="580"/>
      <c r="BM13" s="580"/>
    </row>
    <row r="14" spans="1:66" ht="16.95" customHeight="1">
      <c r="B14" s="748"/>
      <c r="C14" s="749"/>
      <c r="D14" s="749"/>
      <c r="E14" s="749"/>
      <c r="F14" s="749"/>
      <c r="G14" s="749"/>
      <c r="H14" s="749"/>
      <c r="I14" s="749"/>
      <c r="J14" s="749"/>
      <c r="K14" s="749"/>
      <c r="L14" s="749"/>
      <c r="M14" s="750"/>
      <c r="O14" s="728" t="s">
        <v>6</v>
      </c>
      <c r="P14" s="728"/>
      <c r="Q14" s="728"/>
      <c r="R14" s="728"/>
      <c r="S14" s="732"/>
      <c r="T14" s="732"/>
      <c r="U14" s="732"/>
      <c r="V14" s="732"/>
      <c r="W14" s="732"/>
      <c r="X14" s="732"/>
      <c r="Y14" s="732"/>
      <c r="Z14" s="732"/>
      <c r="AA14" s="732"/>
      <c r="AB14" s="732"/>
      <c r="AC14" s="732"/>
      <c r="AD14" s="732"/>
      <c r="AE14" s="732"/>
      <c r="AF14" s="732"/>
      <c r="AG14" s="732"/>
      <c r="AH14" s="732"/>
      <c r="AI14" s="732"/>
      <c r="AJ14" s="732"/>
      <c r="AK14" s="732"/>
      <c r="AL14" s="732"/>
      <c r="AM14" s="732"/>
      <c r="AN14" s="732"/>
      <c r="AO14" s="732"/>
      <c r="AP14" s="732"/>
      <c r="AQ14" s="732"/>
      <c r="AR14" s="732"/>
      <c r="AS14" s="732"/>
      <c r="AT14" s="732"/>
      <c r="AV14" s="580"/>
      <c r="AW14" s="580"/>
      <c r="AX14" s="580"/>
      <c r="AY14" s="580"/>
      <c r="AZ14" s="580"/>
      <c r="BA14" s="580"/>
      <c r="BB14" s="580"/>
      <c r="BC14" s="580"/>
      <c r="BD14" s="580"/>
      <c r="BE14" s="580"/>
      <c r="BF14" s="580"/>
      <c r="BG14" s="580"/>
      <c r="BH14" s="580"/>
      <c r="BI14" s="580"/>
      <c r="BJ14" s="580"/>
      <c r="BK14" s="580"/>
      <c r="BL14" s="580"/>
      <c r="BM14" s="580"/>
    </row>
    <row r="15" spans="1:66" ht="16.95" customHeight="1">
      <c r="B15" s="748"/>
      <c r="C15" s="749"/>
      <c r="D15" s="749"/>
      <c r="E15" s="749"/>
      <c r="F15" s="749"/>
      <c r="G15" s="749"/>
      <c r="H15" s="749"/>
      <c r="I15" s="749"/>
      <c r="J15" s="749"/>
      <c r="K15" s="749"/>
      <c r="L15" s="749"/>
      <c r="M15" s="750"/>
      <c r="O15" s="727" t="s">
        <v>7</v>
      </c>
      <c r="P15" s="727"/>
      <c r="Q15" s="727"/>
      <c r="R15" s="727"/>
      <c r="S15" s="730"/>
      <c r="T15" s="730"/>
      <c r="U15" s="730"/>
      <c r="V15" s="730"/>
      <c r="W15" s="730"/>
      <c r="X15" s="730"/>
      <c r="Y15" s="730"/>
      <c r="Z15" s="730"/>
      <c r="AA15" s="730"/>
      <c r="AB15" s="730"/>
      <c r="AC15" s="730"/>
      <c r="AD15" s="730"/>
      <c r="AE15" s="730"/>
      <c r="AF15" s="730"/>
      <c r="AG15" s="730"/>
      <c r="AH15" s="730"/>
      <c r="AI15" s="730"/>
      <c r="AJ15" s="730"/>
      <c r="AK15" s="730"/>
      <c r="AL15" s="730"/>
      <c r="AM15" s="730"/>
      <c r="AN15" s="730"/>
      <c r="AO15" s="730"/>
      <c r="AP15" s="730"/>
      <c r="AQ15" s="730"/>
      <c r="AR15" s="730"/>
      <c r="AS15" s="730"/>
      <c r="AT15" s="730"/>
      <c r="AV15" s="580"/>
      <c r="AW15" s="580"/>
      <c r="AX15" s="580"/>
      <c r="AY15" s="580"/>
      <c r="AZ15" s="580"/>
      <c r="BA15" s="580"/>
      <c r="BB15" s="580"/>
      <c r="BC15" s="580"/>
      <c r="BD15" s="580"/>
      <c r="BE15" s="580"/>
      <c r="BF15" s="580"/>
      <c r="BG15" s="580"/>
      <c r="BH15" s="580"/>
      <c r="BI15" s="580"/>
      <c r="BJ15" s="580"/>
      <c r="BK15" s="580"/>
      <c r="BL15" s="580"/>
      <c r="BM15" s="580"/>
    </row>
    <row r="16" spans="1:66" ht="16.95" customHeight="1">
      <c r="B16" s="748"/>
      <c r="C16" s="749"/>
      <c r="D16" s="749"/>
      <c r="E16" s="749"/>
      <c r="F16" s="749"/>
      <c r="G16" s="749"/>
      <c r="H16" s="749"/>
      <c r="I16" s="749"/>
      <c r="J16" s="749"/>
      <c r="K16" s="749"/>
      <c r="L16" s="749"/>
      <c r="M16" s="750"/>
      <c r="AV16" s="580"/>
      <c r="AW16" s="580"/>
      <c r="AX16" s="580"/>
      <c r="AY16" s="580"/>
      <c r="AZ16" s="580"/>
      <c r="BA16" s="580"/>
      <c r="BB16" s="580"/>
      <c r="BC16" s="580"/>
      <c r="BD16" s="580"/>
      <c r="BE16" s="580"/>
      <c r="BF16" s="580"/>
      <c r="BG16" s="580"/>
      <c r="BH16" s="580"/>
      <c r="BI16" s="580"/>
      <c r="BJ16" s="580"/>
      <c r="BK16" s="580"/>
      <c r="BL16" s="580"/>
      <c r="BM16" s="580"/>
    </row>
    <row r="17" spans="2:65" ht="16.95" customHeight="1">
      <c r="B17" s="748"/>
      <c r="C17" s="749"/>
      <c r="D17" s="749"/>
      <c r="E17" s="749"/>
      <c r="F17" s="749"/>
      <c r="G17" s="749"/>
      <c r="H17" s="749"/>
      <c r="I17" s="749"/>
      <c r="J17" s="749"/>
      <c r="K17" s="749"/>
      <c r="L17" s="749"/>
      <c r="M17" s="750"/>
      <c r="O17" s="743" t="s">
        <v>6073</v>
      </c>
      <c r="P17" s="743"/>
      <c r="Q17" s="743"/>
      <c r="R17" s="743"/>
      <c r="S17" s="740"/>
      <c r="T17" s="740"/>
      <c r="U17" s="740"/>
      <c r="V17" s="740"/>
      <c r="W17" s="740"/>
      <c r="X17" s="740"/>
      <c r="Y17" s="740"/>
      <c r="Z17" s="740"/>
      <c r="AA17" s="740"/>
      <c r="AB17" s="740"/>
      <c r="AC17" s="740"/>
      <c r="AD17" s="740"/>
      <c r="AE17" s="740"/>
      <c r="AF17" s="740"/>
      <c r="AG17" s="740"/>
      <c r="AH17" s="740"/>
      <c r="AI17" s="740"/>
      <c r="AJ17" s="740"/>
      <c r="AK17" s="740"/>
      <c r="AL17" s="740"/>
      <c r="AM17" s="740"/>
      <c r="AN17" s="740"/>
      <c r="AO17" s="740"/>
      <c r="AP17" s="740"/>
      <c r="AQ17" s="740"/>
      <c r="AR17" s="740"/>
      <c r="AS17" s="740"/>
      <c r="AT17" s="740"/>
      <c r="AV17" s="580"/>
      <c r="AW17" s="580"/>
      <c r="AX17" s="580"/>
      <c r="AY17" s="580"/>
      <c r="AZ17" s="580"/>
      <c r="BA17" s="580"/>
      <c r="BB17" s="580"/>
      <c r="BC17" s="580"/>
      <c r="BD17" s="580"/>
      <c r="BE17" s="580"/>
      <c r="BF17" s="580"/>
      <c r="BG17" s="580"/>
      <c r="BH17" s="580"/>
      <c r="BI17" s="580"/>
      <c r="BJ17" s="580"/>
      <c r="BK17" s="580"/>
      <c r="BL17" s="580"/>
      <c r="BM17" s="580"/>
    </row>
    <row r="18" spans="2:65" ht="16.95" customHeight="1">
      <c r="B18" s="748"/>
      <c r="C18" s="749"/>
      <c r="D18" s="749"/>
      <c r="E18" s="749"/>
      <c r="F18" s="749"/>
      <c r="G18" s="749"/>
      <c r="H18" s="749"/>
      <c r="I18" s="749"/>
      <c r="J18" s="749"/>
      <c r="K18" s="749"/>
      <c r="L18" s="749"/>
      <c r="M18" s="750"/>
      <c r="O18" s="744"/>
      <c r="P18" s="744"/>
      <c r="Q18" s="744"/>
      <c r="R18" s="744"/>
      <c r="S18" s="741"/>
      <c r="T18" s="741"/>
      <c r="U18" s="741"/>
      <c r="V18" s="741"/>
      <c r="W18" s="741"/>
      <c r="X18" s="741"/>
      <c r="Y18" s="741"/>
      <c r="Z18" s="741"/>
      <c r="AA18" s="741"/>
      <c r="AB18" s="741"/>
      <c r="AC18" s="741"/>
      <c r="AD18" s="741"/>
      <c r="AE18" s="741"/>
      <c r="AF18" s="741"/>
      <c r="AG18" s="741"/>
      <c r="AH18" s="741"/>
      <c r="AI18" s="741"/>
      <c r="AJ18" s="741"/>
      <c r="AK18" s="741"/>
      <c r="AL18" s="741"/>
      <c r="AM18" s="741"/>
      <c r="AN18" s="741"/>
      <c r="AO18" s="741"/>
      <c r="AP18" s="741"/>
      <c r="AQ18" s="741"/>
      <c r="AR18" s="741"/>
      <c r="AS18" s="741"/>
      <c r="AT18" s="741"/>
      <c r="AV18" s="580"/>
      <c r="AW18" s="580"/>
      <c r="AX18" s="580"/>
      <c r="AY18" s="580"/>
      <c r="AZ18" s="580"/>
      <c r="BA18" s="580"/>
      <c r="BB18" s="580"/>
      <c r="BC18" s="580"/>
      <c r="BD18" s="580"/>
      <c r="BE18" s="580"/>
      <c r="BF18" s="580"/>
      <c r="BG18" s="580"/>
      <c r="BH18" s="580"/>
      <c r="BI18" s="580"/>
      <c r="BJ18" s="580"/>
      <c r="BK18" s="580"/>
      <c r="BL18" s="580"/>
      <c r="BM18" s="580"/>
    </row>
    <row r="19" spans="2:65" ht="16.95" customHeight="1">
      <c r="B19" s="748"/>
      <c r="C19" s="749"/>
      <c r="D19" s="749"/>
      <c r="E19" s="749"/>
      <c r="F19" s="749"/>
      <c r="G19" s="749"/>
      <c r="H19" s="749"/>
      <c r="I19" s="749"/>
      <c r="J19" s="749"/>
      <c r="K19" s="749"/>
      <c r="L19" s="749"/>
      <c r="M19" s="750"/>
      <c r="O19" s="744"/>
      <c r="P19" s="744"/>
      <c r="Q19" s="744"/>
      <c r="R19" s="744"/>
      <c r="S19" s="741"/>
      <c r="T19" s="741"/>
      <c r="U19" s="741"/>
      <c r="V19" s="741"/>
      <c r="W19" s="741"/>
      <c r="X19" s="741"/>
      <c r="Y19" s="741"/>
      <c r="Z19" s="741"/>
      <c r="AA19" s="741"/>
      <c r="AB19" s="741"/>
      <c r="AC19" s="741"/>
      <c r="AD19" s="741"/>
      <c r="AE19" s="741"/>
      <c r="AF19" s="741"/>
      <c r="AG19" s="741"/>
      <c r="AH19" s="741"/>
      <c r="AI19" s="741"/>
      <c r="AJ19" s="741"/>
      <c r="AK19" s="741"/>
      <c r="AL19" s="741"/>
      <c r="AM19" s="741"/>
      <c r="AN19" s="741"/>
      <c r="AO19" s="741"/>
      <c r="AP19" s="741"/>
      <c r="AQ19" s="741"/>
      <c r="AR19" s="741"/>
      <c r="AS19" s="741"/>
      <c r="AT19" s="741"/>
      <c r="AV19" s="580"/>
      <c r="AW19" s="580"/>
      <c r="AX19" s="580"/>
      <c r="AY19" s="580"/>
      <c r="AZ19" s="580"/>
      <c r="BA19" s="580"/>
      <c r="BB19" s="580"/>
      <c r="BC19" s="580"/>
      <c r="BD19" s="580"/>
      <c r="BE19" s="580"/>
      <c r="BF19" s="580"/>
      <c r="BG19" s="580"/>
      <c r="BH19" s="580"/>
      <c r="BI19" s="580"/>
      <c r="BJ19" s="580"/>
      <c r="BK19" s="580"/>
      <c r="BL19" s="580"/>
      <c r="BM19" s="580"/>
    </row>
    <row r="20" spans="2:65" ht="16.95" customHeight="1">
      <c r="B20" s="748"/>
      <c r="C20" s="749"/>
      <c r="D20" s="749"/>
      <c r="E20" s="749"/>
      <c r="F20" s="749"/>
      <c r="G20" s="749"/>
      <c r="H20" s="749"/>
      <c r="I20" s="749"/>
      <c r="J20" s="749"/>
      <c r="K20" s="749"/>
      <c r="L20" s="749"/>
      <c r="M20" s="750"/>
      <c r="O20" s="744"/>
      <c r="P20" s="744"/>
      <c r="Q20" s="744"/>
      <c r="R20" s="744"/>
      <c r="S20" s="741"/>
      <c r="T20" s="741"/>
      <c r="U20" s="741"/>
      <c r="V20" s="741"/>
      <c r="W20" s="741"/>
      <c r="X20" s="741"/>
      <c r="Y20" s="741"/>
      <c r="Z20" s="741"/>
      <c r="AA20" s="741"/>
      <c r="AB20" s="741"/>
      <c r="AC20" s="741"/>
      <c r="AD20" s="741"/>
      <c r="AE20" s="741"/>
      <c r="AF20" s="741"/>
      <c r="AG20" s="741"/>
      <c r="AH20" s="741"/>
      <c r="AI20" s="741"/>
      <c r="AJ20" s="741"/>
      <c r="AK20" s="741"/>
      <c r="AL20" s="741"/>
      <c r="AM20" s="741"/>
      <c r="AN20" s="741"/>
      <c r="AO20" s="741"/>
      <c r="AP20" s="741"/>
      <c r="AQ20" s="741"/>
      <c r="AR20" s="741"/>
      <c r="AS20" s="741"/>
      <c r="AT20" s="741"/>
      <c r="AV20" s="580"/>
      <c r="AW20" s="580"/>
      <c r="AX20" s="580"/>
      <c r="AY20" s="580"/>
      <c r="AZ20" s="580"/>
      <c r="BA20" s="580"/>
      <c r="BB20" s="580"/>
      <c r="BC20" s="580"/>
      <c r="BD20" s="580"/>
      <c r="BE20" s="580"/>
      <c r="BF20" s="580"/>
      <c r="BG20" s="580"/>
      <c r="BH20" s="580"/>
      <c r="BI20" s="580"/>
      <c r="BJ20" s="580"/>
      <c r="BK20" s="580"/>
      <c r="BL20" s="580"/>
      <c r="BM20" s="580"/>
    </row>
    <row r="21" spans="2:65" ht="16.95" customHeight="1">
      <c r="B21" s="748"/>
      <c r="C21" s="749"/>
      <c r="D21" s="749"/>
      <c r="E21" s="749"/>
      <c r="F21" s="749"/>
      <c r="G21" s="749"/>
      <c r="H21" s="749"/>
      <c r="I21" s="749"/>
      <c r="J21" s="749"/>
      <c r="K21" s="749"/>
      <c r="L21" s="749"/>
      <c r="M21" s="750"/>
      <c r="O21" s="744"/>
      <c r="P21" s="744"/>
      <c r="Q21" s="744"/>
      <c r="R21" s="744"/>
      <c r="S21" s="741"/>
      <c r="T21" s="741"/>
      <c r="U21" s="741"/>
      <c r="V21" s="741"/>
      <c r="W21" s="741"/>
      <c r="X21" s="741"/>
      <c r="Y21" s="741"/>
      <c r="Z21" s="741"/>
      <c r="AA21" s="741"/>
      <c r="AB21" s="741"/>
      <c r="AC21" s="741"/>
      <c r="AD21" s="741"/>
      <c r="AE21" s="741"/>
      <c r="AF21" s="741"/>
      <c r="AG21" s="741"/>
      <c r="AH21" s="741"/>
      <c r="AI21" s="741"/>
      <c r="AJ21" s="741"/>
      <c r="AK21" s="741"/>
      <c r="AL21" s="741"/>
      <c r="AM21" s="741"/>
      <c r="AN21" s="741"/>
      <c r="AO21" s="741"/>
      <c r="AP21" s="741"/>
      <c r="AQ21" s="741"/>
      <c r="AR21" s="741"/>
      <c r="AS21" s="741"/>
      <c r="AT21" s="741"/>
      <c r="AV21" s="580"/>
      <c r="AW21" s="580"/>
      <c r="AX21" s="580"/>
      <c r="AY21" s="580"/>
      <c r="AZ21" s="580"/>
      <c r="BA21" s="580"/>
      <c r="BB21" s="580"/>
      <c r="BC21" s="580"/>
      <c r="BD21" s="580"/>
      <c r="BE21" s="580"/>
      <c r="BF21" s="580"/>
      <c r="BG21" s="580"/>
      <c r="BH21" s="580"/>
      <c r="BI21" s="580"/>
      <c r="BJ21" s="580"/>
      <c r="BK21" s="580"/>
      <c r="BL21" s="580"/>
      <c r="BM21" s="580"/>
    </row>
    <row r="22" spans="2:65" ht="16.95" customHeight="1">
      <c r="O22" s="744"/>
      <c r="P22" s="744"/>
      <c r="Q22" s="744"/>
      <c r="R22" s="744"/>
      <c r="S22" s="741"/>
      <c r="T22" s="741"/>
      <c r="U22" s="741"/>
      <c r="V22" s="741"/>
      <c r="W22" s="741"/>
      <c r="X22" s="741"/>
      <c r="Y22" s="741"/>
      <c r="Z22" s="741"/>
      <c r="AA22" s="741"/>
      <c r="AB22" s="741"/>
      <c r="AC22" s="741"/>
      <c r="AD22" s="741"/>
      <c r="AE22" s="741"/>
      <c r="AF22" s="741"/>
      <c r="AG22" s="741"/>
      <c r="AH22" s="741"/>
      <c r="AI22" s="741"/>
      <c r="AJ22" s="741"/>
      <c r="AK22" s="741"/>
      <c r="AL22" s="741"/>
      <c r="AM22" s="741"/>
      <c r="AN22" s="741"/>
      <c r="AO22" s="741"/>
      <c r="AP22" s="741"/>
      <c r="AQ22" s="741"/>
      <c r="AR22" s="741"/>
      <c r="AS22" s="741"/>
      <c r="AT22" s="741"/>
      <c r="AV22" s="580"/>
      <c r="AW22" s="580"/>
      <c r="AX22" s="580"/>
      <c r="AY22" s="580"/>
      <c r="AZ22" s="580"/>
      <c r="BA22" s="580"/>
      <c r="BB22" s="580"/>
      <c r="BC22" s="580"/>
      <c r="BD22" s="580"/>
      <c r="BE22" s="580"/>
      <c r="BF22" s="580"/>
      <c r="BG22" s="580"/>
      <c r="BH22" s="580"/>
      <c r="BI22" s="580"/>
      <c r="BJ22" s="580"/>
      <c r="BK22" s="580"/>
      <c r="BL22" s="580"/>
      <c r="BM22" s="580"/>
    </row>
    <row r="23" spans="2:65" ht="16.95" customHeight="1">
      <c r="B23" s="734" t="s">
        <v>5958</v>
      </c>
      <c r="C23" s="734"/>
      <c r="D23" s="734"/>
      <c r="E23" s="734"/>
      <c r="F23" s="734"/>
      <c r="G23" s="734"/>
      <c r="H23" s="734"/>
      <c r="I23" s="734"/>
      <c r="J23" s="734"/>
      <c r="K23" s="734"/>
      <c r="L23" s="734"/>
      <c r="M23" s="734"/>
      <c r="O23" s="744"/>
      <c r="P23" s="744"/>
      <c r="Q23" s="744"/>
      <c r="R23" s="744"/>
      <c r="S23" s="741"/>
      <c r="T23" s="741"/>
      <c r="U23" s="741"/>
      <c r="V23" s="741"/>
      <c r="W23" s="741"/>
      <c r="X23" s="741"/>
      <c r="Y23" s="741"/>
      <c r="Z23" s="741"/>
      <c r="AA23" s="741"/>
      <c r="AB23" s="741"/>
      <c r="AC23" s="741"/>
      <c r="AD23" s="741"/>
      <c r="AE23" s="741"/>
      <c r="AF23" s="741"/>
      <c r="AG23" s="741"/>
      <c r="AH23" s="741"/>
      <c r="AI23" s="741"/>
      <c r="AJ23" s="741"/>
      <c r="AK23" s="741"/>
      <c r="AL23" s="741"/>
      <c r="AM23" s="741"/>
      <c r="AN23" s="741"/>
      <c r="AO23" s="741"/>
      <c r="AP23" s="741"/>
      <c r="AQ23" s="741"/>
      <c r="AR23" s="741"/>
      <c r="AS23" s="741"/>
      <c r="AT23" s="741"/>
      <c r="AV23" s="580"/>
      <c r="AW23" s="580"/>
      <c r="AX23" s="580"/>
      <c r="AY23" s="580"/>
      <c r="AZ23" s="580"/>
      <c r="BA23" s="580"/>
      <c r="BB23" s="580"/>
      <c r="BC23" s="580"/>
      <c r="BD23" s="580"/>
      <c r="BE23" s="580"/>
      <c r="BF23" s="580"/>
      <c r="BG23" s="580"/>
      <c r="BH23" s="580"/>
      <c r="BI23" s="580"/>
      <c r="BJ23" s="580"/>
      <c r="BK23" s="580"/>
      <c r="BL23" s="580"/>
      <c r="BM23" s="580"/>
    </row>
    <row r="24" spans="2:65" ht="16.95" customHeight="1">
      <c r="B24" s="580"/>
      <c r="C24" s="580"/>
      <c r="D24" s="580"/>
      <c r="E24" s="580"/>
      <c r="F24" s="580"/>
      <c r="G24" s="580"/>
      <c r="H24" s="580"/>
      <c r="I24" s="580"/>
      <c r="J24" s="580"/>
      <c r="K24" s="580"/>
      <c r="L24" s="580"/>
      <c r="M24" s="580"/>
      <c r="O24" s="744"/>
      <c r="P24" s="744"/>
      <c r="Q24" s="744"/>
      <c r="R24" s="744"/>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741"/>
      <c r="AQ24" s="741"/>
      <c r="AR24" s="741"/>
      <c r="AS24" s="741"/>
      <c r="AT24" s="741"/>
      <c r="AV24" s="580"/>
      <c r="AW24" s="580"/>
      <c r="AX24" s="580"/>
      <c r="AY24" s="580"/>
      <c r="AZ24" s="580"/>
      <c r="BA24" s="580"/>
      <c r="BB24" s="580"/>
      <c r="BC24" s="580"/>
      <c r="BD24" s="580"/>
      <c r="BE24" s="580"/>
      <c r="BF24" s="580"/>
      <c r="BG24" s="580"/>
      <c r="BH24" s="580"/>
      <c r="BI24" s="580"/>
      <c r="BJ24" s="580"/>
      <c r="BK24" s="580"/>
      <c r="BL24" s="580"/>
      <c r="BM24" s="580"/>
    </row>
    <row r="25" spans="2:65" ht="16.95" customHeight="1">
      <c r="B25" s="612"/>
      <c r="C25" s="612"/>
      <c r="D25" s="612"/>
      <c r="E25" s="612"/>
      <c r="F25" s="612"/>
      <c r="G25" s="612"/>
      <c r="H25" s="612"/>
      <c r="I25" s="612"/>
      <c r="J25" s="612"/>
      <c r="K25" s="612"/>
      <c r="L25" s="612"/>
      <c r="M25" s="612"/>
      <c r="O25" s="744"/>
      <c r="P25" s="744"/>
      <c r="Q25" s="744"/>
      <c r="R25" s="744"/>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741"/>
      <c r="AQ25" s="741"/>
      <c r="AR25" s="741"/>
      <c r="AS25" s="741"/>
      <c r="AT25" s="741"/>
      <c r="AV25" s="580"/>
      <c r="AW25" s="580"/>
      <c r="AX25" s="580"/>
      <c r="AY25" s="580"/>
      <c r="AZ25" s="580"/>
      <c r="BA25" s="580"/>
      <c r="BB25" s="580"/>
      <c r="BC25" s="580"/>
      <c r="BD25" s="580"/>
      <c r="BE25" s="580"/>
      <c r="BF25" s="580"/>
      <c r="BG25" s="580"/>
      <c r="BH25" s="580"/>
      <c r="BI25" s="580"/>
      <c r="BJ25" s="580"/>
      <c r="BK25" s="580"/>
      <c r="BL25" s="580"/>
      <c r="BM25" s="580"/>
    </row>
    <row r="26" spans="2:65" ht="16.95" customHeight="1">
      <c r="B26" s="580"/>
      <c r="C26" s="580"/>
      <c r="D26" s="580"/>
      <c r="E26" s="580"/>
      <c r="F26" s="580"/>
      <c r="G26" s="580"/>
      <c r="H26" s="580"/>
      <c r="I26" s="580"/>
      <c r="J26" s="580"/>
      <c r="K26" s="580"/>
      <c r="L26" s="580"/>
      <c r="M26" s="580"/>
      <c r="O26" s="744"/>
      <c r="P26" s="744"/>
      <c r="Q26" s="744"/>
      <c r="R26" s="744"/>
      <c r="S26" s="741"/>
      <c r="T26" s="741"/>
      <c r="U26" s="741"/>
      <c r="V26" s="741"/>
      <c r="W26" s="741"/>
      <c r="X26" s="741"/>
      <c r="Y26" s="741"/>
      <c r="Z26" s="741"/>
      <c r="AA26" s="741"/>
      <c r="AB26" s="741"/>
      <c r="AC26" s="741"/>
      <c r="AD26" s="741"/>
      <c r="AE26" s="741"/>
      <c r="AF26" s="741"/>
      <c r="AG26" s="741"/>
      <c r="AH26" s="741"/>
      <c r="AI26" s="741"/>
      <c r="AJ26" s="741"/>
      <c r="AK26" s="741"/>
      <c r="AL26" s="741"/>
      <c r="AM26" s="741"/>
      <c r="AN26" s="741"/>
      <c r="AO26" s="741"/>
      <c r="AP26" s="741"/>
      <c r="AQ26" s="741"/>
      <c r="AR26" s="741"/>
      <c r="AS26" s="741"/>
      <c r="AT26" s="741"/>
      <c r="AV26" s="580"/>
      <c r="AW26" s="580"/>
      <c r="AX26" s="580"/>
      <c r="AY26" s="580"/>
      <c r="AZ26" s="580"/>
      <c r="BA26" s="580"/>
      <c r="BB26" s="580"/>
      <c r="BC26" s="580"/>
      <c r="BD26" s="580"/>
      <c r="BE26" s="580"/>
      <c r="BF26" s="580"/>
      <c r="BG26" s="580"/>
      <c r="BH26" s="580"/>
      <c r="BI26" s="580"/>
      <c r="BJ26" s="580"/>
      <c r="BK26" s="580"/>
      <c r="BL26" s="580"/>
      <c r="BM26" s="580"/>
    </row>
    <row r="27" spans="2:65" ht="16.95" customHeight="1">
      <c r="B27" s="612"/>
      <c r="C27" s="612"/>
      <c r="D27" s="612"/>
      <c r="E27" s="612"/>
      <c r="F27" s="612"/>
      <c r="G27" s="612"/>
      <c r="H27" s="612"/>
      <c r="I27" s="612"/>
      <c r="J27" s="612"/>
      <c r="K27" s="612"/>
      <c r="L27" s="612"/>
      <c r="M27" s="612"/>
      <c r="O27" s="744"/>
      <c r="P27" s="744"/>
      <c r="Q27" s="744"/>
      <c r="R27" s="744"/>
      <c r="S27" s="741"/>
      <c r="T27" s="741"/>
      <c r="U27" s="741"/>
      <c r="V27" s="741"/>
      <c r="W27" s="741"/>
      <c r="X27" s="741"/>
      <c r="Y27" s="741"/>
      <c r="Z27" s="741"/>
      <c r="AA27" s="741"/>
      <c r="AB27" s="741"/>
      <c r="AC27" s="741"/>
      <c r="AD27" s="741"/>
      <c r="AE27" s="741"/>
      <c r="AF27" s="741"/>
      <c r="AG27" s="741"/>
      <c r="AH27" s="741"/>
      <c r="AI27" s="741"/>
      <c r="AJ27" s="741"/>
      <c r="AK27" s="741"/>
      <c r="AL27" s="741"/>
      <c r="AM27" s="741"/>
      <c r="AN27" s="741"/>
      <c r="AO27" s="741"/>
      <c r="AP27" s="741"/>
      <c r="AQ27" s="741"/>
      <c r="AR27" s="741"/>
      <c r="AS27" s="741"/>
      <c r="AT27" s="741"/>
      <c r="AV27" s="580"/>
      <c r="AW27" s="580"/>
      <c r="AX27" s="580"/>
      <c r="AY27" s="580"/>
      <c r="AZ27" s="580"/>
      <c r="BA27" s="580"/>
      <c r="BB27" s="580"/>
      <c r="BC27" s="580"/>
      <c r="BD27" s="580"/>
      <c r="BE27" s="580"/>
      <c r="BF27" s="580"/>
      <c r="BG27" s="580"/>
      <c r="BH27" s="580"/>
      <c r="BI27" s="580"/>
      <c r="BJ27" s="580"/>
      <c r="BK27" s="580"/>
      <c r="BL27" s="580"/>
      <c r="BM27" s="580"/>
    </row>
    <row r="28" spans="2:65" ht="16.95" customHeight="1">
      <c r="O28" s="744"/>
      <c r="P28" s="744"/>
      <c r="Q28" s="744"/>
      <c r="R28" s="744"/>
      <c r="S28" s="741"/>
      <c r="T28" s="741"/>
      <c r="U28" s="741"/>
      <c r="V28" s="741"/>
      <c r="W28" s="741"/>
      <c r="X28" s="741"/>
      <c r="Y28" s="741"/>
      <c r="Z28" s="741"/>
      <c r="AA28" s="741"/>
      <c r="AB28" s="741"/>
      <c r="AC28" s="741"/>
      <c r="AD28" s="741"/>
      <c r="AE28" s="741"/>
      <c r="AF28" s="741"/>
      <c r="AG28" s="741"/>
      <c r="AH28" s="741"/>
      <c r="AI28" s="741"/>
      <c r="AJ28" s="741"/>
      <c r="AK28" s="741"/>
      <c r="AL28" s="741"/>
      <c r="AM28" s="741"/>
      <c r="AN28" s="741"/>
      <c r="AO28" s="741"/>
      <c r="AP28" s="741"/>
      <c r="AQ28" s="741"/>
      <c r="AR28" s="741"/>
      <c r="AS28" s="741"/>
      <c r="AT28" s="741"/>
      <c r="AV28" s="580"/>
      <c r="AW28" s="580"/>
      <c r="AX28" s="580"/>
      <c r="AY28" s="580"/>
      <c r="AZ28" s="580"/>
      <c r="BA28" s="580"/>
      <c r="BB28" s="580"/>
      <c r="BC28" s="580"/>
      <c r="BD28" s="580"/>
      <c r="BE28" s="580"/>
      <c r="BF28" s="580"/>
      <c r="BG28" s="580"/>
      <c r="BH28" s="580"/>
      <c r="BI28" s="580"/>
      <c r="BJ28" s="580"/>
      <c r="BK28" s="580"/>
      <c r="BL28" s="580"/>
      <c r="BM28" s="580"/>
    </row>
    <row r="29" spans="2:65" ht="16.95" customHeight="1">
      <c r="B29" s="734" t="s">
        <v>5959</v>
      </c>
      <c r="C29" s="734"/>
      <c r="D29" s="734"/>
      <c r="E29" s="734"/>
      <c r="F29" s="734"/>
      <c r="G29" s="734"/>
      <c r="H29" s="734"/>
      <c r="I29" s="734"/>
      <c r="J29" s="734"/>
      <c r="K29" s="734"/>
      <c r="L29" s="734"/>
      <c r="M29" s="734"/>
      <c r="O29" s="744"/>
      <c r="P29" s="744"/>
      <c r="Q29" s="744"/>
      <c r="R29" s="744"/>
      <c r="S29" s="741"/>
      <c r="T29" s="741"/>
      <c r="U29" s="741"/>
      <c r="V29" s="741"/>
      <c r="W29" s="741"/>
      <c r="X29" s="741"/>
      <c r="Y29" s="741"/>
      <c r="Z29" s="741"/>
      <c r="AA29" s="741"/>
      <c r="AB29" s="741"/>
      <c r="AC29" s="741"/>
      <c r="AD29" s="741"/>
      <c r="AE29" s="741"/>
      <c r="AF29" s="741"/>
      <c r="AG29" s="741"/>
      <c r="AH29" s="741"/>
      <c r="AI29" s="741"/>
      <c r="AJ29" s="741"/>
      <c r="AK29" s="741"/>
      <c r="AL29" s="741"/>
      <c r="AM29" s="741"/>
      <c r="AN29" s="741"/>
      <c r="AO29" s="741"/>
      <c r="AP29" s="741"/>
      <c r="AQ29" s="741"/>
      <c r="AR29" s="741"/>
      <c r="AS29" s="741"/>
      <c r="AT29" s="741"/>
      <c r="AV29" s="580"/>
      <c r="AW29" s="580"/>
      <c r="AX29" s="580"/>
      <c r="AY29" s="580"/>
      <c r="AZ29" s="580"/>
      <c r="BA29" s="580"/>
      <c r="BB29" s="580"/>
      <c r="BC29" s="580"/>
      <c r="BD29" s="580"/>
      <c r="BE29" s="580"/>
      <c r="BF29" s="580"/>
      <c r="BG29" s="580"/>
      <c r="BH29" s="580"/>
      <c r="BI29" s="580"/>
      <c r="BJ29" s="580"/>
      <c r="BK29" s="580"/>
      <c r="BL29" s="580"/>
      <c r="BM29" s="580"/>
    </row>
    <row r="30" spans="2:65" ht="16.95" customHeight="1">
      <c r="B30" s="580"/>
      <c r="C30" s="580"/>
      <c r="D30" s="580"/>
      <c r="E30" s="580"/>
      <c r="F30" s="580"/>
      <c r="G30" s="580"/>
      <c r="H30" s="580"/>
      <c r="I30" s="580"/>
      <c r="J30" s="580"/>
      <c r="K30" s="580"/>
      <c r="L30" s="580"/>
      <c r="M30" s="580"/>
      <c r="O30" s="744"/>
      <c r="P30" s="744"/>
      <c r="Q30" s="744"/>
      <c r="R30" s="744"/>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V30" s="580"/>
      <c r="AW30" s="580"/>
      <c r="AX30" s="580"/>
      <c r="AY30" s="580"/>
      <c r="AZ30" s="580"/>
      <c r="BA30" s="580"/>
      <c r="BB30" s="580"/>
      <c r="BC30" s="580"/>
      <c r="BD30" s="580"/>
      <c r="BE30" s="580"/>
      <c r="BF30" s="580"/>
      <c r="BG30" s="580"/>
      <c r="BH30" s="580"/>
      <c r="BI30" s="580"/>
      <c r="BJ30" s="580"/>
      <c r="BK30" s="580"/>
      <c r="BL30" s="580"/>
      <c r="BM30" s="580"/>
    </row>
    <row r="31" spans="2:65" ht="16.95" customHeight="1">
      <c r="B31" s="612"/>
      <c r="C31" s="612"/>
      <c r="D31" s="612"/>
      <c r="E31" s="612"/>
      <c r="F31" s="612"/>
      <c r="G31" s="612"/>
      <c r="H31" s="612"/>
      <c r="I31" s="612"/>
      <c r="J31" s="612"/>
      <c r="K31" s="612"/>
      <c r="L31" s="612"/>
      <c r="M31" s="612"/>
      <c r="O31" s="744"/>
      <c r="P31" s="744"/>
      <c r="Q31" s="744"/>
      <c r="R31" s="744"/>
      <c r="S31" s="741"/>
      <c r="T31" s="741"/>
      <c r="U31" s="741"/>
      <c r="V31" s="741"/>
      <c r="W31" s="741"/>
      <c r="X31" s="741"/>
      <c r="Y31" s="741"/>
      <c r="Z31" s="741"/>
      <c r="AA31" s="741"/>
      <c r="AB31" s="741"/>
      <c r="AC31" s="741"/>
      <c r="AD31" s="741"/>
      <c r="AE31" s="741"/>
      <c r="AF31" s="741"/>
      <c r="AG31" s="741"/>
      <c r="AH31" s="741"/>
      <c r="AI31" s="741"/>
      <c r="AJ31" s="741"/>
      <c r="AK31" s="741"/>
      <c r="AL31" s="741"/>
      <c r="AM31" s="741"/>
      <c r="AN31" s="741"/>
      <c r="AO31" s="741"/>
      <c r="AP31" s="741"/>
      <c r="AQ31" s="741"/>
      <c r="AR31" s="741"/>
      <c r="AS31" s="741"/>
      <c r="AT31" s="741"/>
      <c r="AV31" s="580"/>
      <c r="AW31" s="580"/>
      <c r="AX31" s="580"/>
      <c r="AY31" s="580"/>
      <c r="AZ31" s="580"/>
      <c r="BA31" s="580"/>
      <c r="BB31" s="580"/>
      <c r="BC31" s="580"/>
      <c r="BD31" s="580"/>
      <c r="BE31" s="580"/>
      <c r="BF31" s="580"/>
      <c r="BG31" s="580"/>
      <c r="BH31" s="580"/>
      <c r="BI31" s="580"/>
      <c r="BJ31" s="580"/>
      <c r="BK31" s="580"/>
      <c r="BL31" s="580"/>
      <c r="BM31" s="580"/>
    </row>
    <row r="32" spans="2:65" ht="16.95" customHeight="1">
      <c r="B32" s="580"/>
      <c r="C32" s="580"/>
      <c r="D32" s="580"/>
      <c r="E32" s="580"/>
      <c r="F32" s="580"/>
      <c r="G32" s="580"/>
      <c r="H32" s="580"/>
      <c r="I32" s="580"/>
      <c r="J32" s="580"/>
      <c r="K32" s="580"/>
      <c r="L32" s="580"/>
      <c r="M32" s="580"/>
      <c r="O32" s="744"/>
      <c r="P32" s="744"/>
      <c r="Q32" s="744"/>
      <c r="R32" s="744"/>
      <c r="S32" s="741"/>
      <c r="T32" s="741"/>
      <c r="U32" s="741"/>
      <c r="V32" s="741"/>
      <c r="W32" s="741"/>
      <c r="X32" s="741"/>
      <c r="Y32" s="741"/>
      <c r="Z32" s="741"/>
      <c r="AA32" s="741"/>
      <c r="AB32" s="741"/>
      <c r="AC32" s="741"/>
      <c r="AD32" s="741"/>
      <c r="AE32" s="741"/>
      <c r="AF32" s="741"/>
      <c r="AG32" s="741"/>
      <c r="AH32" s="741"/>
      <c r="AI32" s="741"/>
      <c r="AJ32" s="741"/>
      <c r="AK32" s="741"/>
      <c r="AL32" s="741"/>
      <c r="AM32" s="741"/>
      <c r="AN32" s="741"/>
      <c r="AO32" s="741"/>
      <c r="AP32" s="741"/>
      <c r="AQ32" s="741"/>
      <c r="AR32" s="741"/>
      <c r="AS32" s="741"/>
      <c r="AT32" s="741"/>
      <c r="AV32" s="580"/>
      <c r="AW32" s="580"/>
      <c r="AX32" s="580"/>
      <c r="AY32" s="580"/>
      <c r="AZ32" s="580"/>
      <c r="BA32" s="580"/>
      <c r="BB32" s="580"/>
      <c r="BC32" s="580"/>
      <c r="BD32" s="580"/>
      <c r="BE32" s="580"/>
      <c r="BF32" s="580"/>
      <c r="BG32" s="580"/>
      <c r="BH32" s="580"/>
      <c r="BI32" s="580"/>
      <c r="BJ32" s="580"/>
      <c r="BK32" s="580"/>
      <c r="BL32" s="580"/>
      <c r="BM32" s="580"/>
    </row>
    <row r="33" spans="2:65" ht="16.95" customHeight="1">
      <c r="B33" s="612"/>
      <c r="C33" s="612"/>
      <c r="D33" s="612"/>
      <c r="E33" s="612"/>
      <c r="F33" s="612"/>
      <c r="G33" s="612"/>
      <c r="H33" s="612"/>
      <c r="I33" s="612"/>
      <c r="J33" s="612"/>
      <c r="K33" s="612"/>
      <c r="L33" s="612"/>
      <c r="M33" s="612"/>
      <c r="O33" s="745"/>
      <c r="P33" s="745"/>
      <c r="Q33" s="745"/>
      <c r="R33" s="745"/>
      <c r="S33" s="742"/>
      <c r="T33" s="742"/>
      <c r="U33" s="742"/>
      <c r="V33" s="742"/>
      <c r="W33" s="742"/>
      <c r="X33" s="742"/>
      <c r="Y33" s="742"/>
      <c r="Z33" s="742"/>
      <c r="AA33" s="742"/>
      <c r="AB33" s="742"/>
      <c r="AC33" s="742"/>
      <c r="AD33" s="742"/>
      <c r="AE33" s="742"/>
      <c r="AF33" s="742"/>
      <c r="AG33" s="742"/>
      <c r="AH33" s="742"/>
      <c r="AI33" s="742"/>
      <c r="AJ33" s="742"/>
      <c r="AK33" s="742"/>
      <c r="AL33" s="742"/>
      <c r="AM33" s="742"/>
      <c r="AN33" s="742"/>
      <c r="AO33" s="742"/>
      <c r="AP33" s="742"/>
      <c r="AQ33" s="742"/>
      <c r="AR33" s="742"/>
      <c r="AS33" s="742"/>
      <c r="AT33" s="742"/>
      <c r="AV33" s="580"/>
      <c r="AW33" s="580"/>
      <c r="AX33" s="580"/>
      <c r="AY33" s="580"/>
      <c r="AZ33" s="580"/>
      <c r="BA33" s="580"/>
      <c r="BB33" s="580"/>
      <c r="BC33" s="580"/>
      <c r="BD33" s="580"/>
      <c r="BE33" s="580"/>
      <c r="BF33" s="580"/>
      <c r="BG33" s="580"/>
      <c r="BH33" s="580"/>
      <c r="BI33" s="580"/>
      <c r="BJ33" s="580"/>
      <c r="BK33" s="580"/>
      <c r="BL33" s="580"/>
      <c r="BM33" s="580"/>
    </row>
  </sheetData>
  <sheetProtection sheet="1"/>
  <mergeCells count="61">
    <mergeCell ref="S4:AN4"/>
    <mergeCell ref="O5:R5"/>
    <mergeCell ref="S5:AN5"/>
    <mergeCell ref="O6:R6"/>
    <mergeCell ref="S6:AN6"/>
    <mergeCell ref="AP3:BM3"/>
    <mergeCell ref="O3:AN3"/>
    <mergeCell ref="O4:R4"/>
    <mergeCell ref="K9:M9"/>
    <mergeCell ref="H33:M33"/>
    <mergeCell ref="E5:M5"/>
    <mergeCell ref="E6:M6"/>
    <mergeCell ref="S17:AT33"/>
    <mergeCell ref="O17:R33"/>
    <mergeCell ref="AV12:BM33"/>
    <mergeCell ref="O7:R9"/>
    <mergeCell ref="S7:AN9"/>
    <mergeCell ref="B11:M11"/>
    <mergeCell ref="B12:M21"/>
    <mergeCell ref="AP4:BM9"/>
    <mergeCell ref="B6:D6"/>
    <mergeCell ref="B30:G30"/>
    <mergeCell ref="H30:M30"/>
    <mergeCell ref="B29:M29"/>
    <mergeCell ref="B9:D9"/>
    <mergeCell ref="B33:G33"/>
    <mergeCell ref="B31:G31"/>
    <mergeCell ref="H31:M31"/>
    <mergeCell ref="B32:G32"/>
    <mergeCell ref="H32:M32"/>
    <mergeCell ref="E9:G9"/>
    <mergeCell ref="H9:J9"/>
    <mergeCell ref="B27:G27"/>
    <mergeCell ref="H27:M27"/>
    <mergeCell ref="B25:G25"/>
    <mergeCell ref="H25:M25"/>
    <mergeCell ref="B23:M23"/>
    <mergeCell ref="B26:G26"/>
    <mergeCell ref="H26:M26"/>
    <mergeCell ref="B24:G24"/>
    <mergeCell ref="H24:M24"/>
    <mergeCell ref="K8:M8"/>
    <mergeCell ref="B8:D8"/>
    <mergeCell ref="E8:G8"/>
    <mergeCell ref="H8:J8"/>
    <mergeCell ref="A1:BN1"/>
    <mergeCell ref="O15:R15"/>
    <mergeCell ref="O14:R14"/>
    <mergeCell ref="O13:R13"/>
    <mergeCell ref="O11:R12"/>
    <mergeCell ref="B3:D3"/>
    <mergeCell ref="E3:M3"/>
    <mergeCell ref="S11:AT11"/>
    <mergeCell ref="B4:D4"/>
    <mergeCell ref="E4:M4"/>
    <mergeCell ref="S12:AT12"/>
    <mergeCell ref="S13:AT13"/>
    <mergeCell ref="S14:AT14"/>
    <mergeCell ref="S15:AT15"/>
    <mergeCell ref="B5:D5"/>
    <mergeCell ref="AV11:BM11"/>
  </mergeCells>
  <phoneticPr fontId="49" type="noConversion"/>
  <pageMargins left="0.75" right="0.75" top="1" bottom="1" header="0.51180555555555596" footer="0.51180555555555596"/>
  <legacyDrawing r:id="rId1"/>
  <extLst>
    <ext xmlns:x14="http://schemas.microsoft.com/office/spreadsheetml/2009/9/main" uri="{CCE6A557-97BC-4b89-ADB6-D9C93CAAB3DF}">
      <x14:dataValidations xmlns:xm="http://schemas.microsoft.com/office/excel/2006/main" count="10">
        <x14:dataValidation type="list" allowBlank="1" showInputMessage="1" xr:uid="{E3F2B119-A4BF-4E39-B9E7-023CE63C68E4}">
          <x14:formula1>
            <xm:f>数据表!$CN$101:$CN$139</xm:f>
          </x14:formula1>
          <xm:sqref>B30:M33</xm:sqref>
        </x14:dataValidation>
        <x14:dataValidation type="list" allowBlank="1" showInputMessage="1" xr:uid="{AAA9D58F-CBF5-46D7-B3D3-FCF3B20EA823}">
          <x14:formula1>
            <xm:f>主要!$E$3</xm:f>
          </x14:formula1>
          <xm:sqref>E3:M3</xm:sqref>
        </x14:dataValidation>
        <x14:dataValidation type="list" allowBlank="1" showInputMessage="1" xr:uid="{EC95CDF5-273F-459B-9242-00E8F7E03FF5}">
          <x14:formula1>
            <xm:f>主要!$E$4</xm:f>
          </x14:formula1>
          <xm:sqref>E4:M4</xm:sqref>
        </x14:dataValidation>
        <x14:dataValidation type="list" allowBlank="1" showInputMessage="1" xr:uid="{49DC4235-549C-4CAC-80EB-DD38AB504112}">
          <x14:formula1>
            <xm:f>数据表!$CT$2:$CT$22</xm:f>
          </x14:formula1>
          <xm:sqref>B24:M27</xm:sqref>
        </x14:dataValidation>
        <x14:dataValidation type="list" allowBlank="1" showInputMessage="1" xr:uid="{34E6DE55-8DD0-4AFF-AFE4-FC27F1EE34DC}">
          <x14:formula1>
            <xm:f>背景数据!$P$2</xm:f>
          </x14:formula1>
          <xm:sqref>AP4:BM9</xm:sqref>
        </x14:dataValidation>
        <x14:dataValidation type="list" allowBlank="1" showInputMessage="1" xr:uid="{D002F8C8-31BB-42DB-9ECF-17FA78548BF5}">
          <x14:formula1>
            <xm:f>背景数据!$G$3:$G$79</xm:f>
          </x14:formula1>
          <xm:sqref>E6:M6</xm:sqref>
        </x14:dataValidation>
        <x14:dataValidation type="list" allowBlank="1" showInputMessage="1" xr:uid="{44100F7D-562D-47B1-87D5-F0A903FF8C3A}">
          <x14:formula1>
            <xm:f>背景数据!$Q$2</xm:f>
          </x14:formula1>
          <xm:sqref>S4:AA4</xm:sqref>
        </x14:dataValidation>
        <x14:dataValidation type="list" allowBlank="1" showInputMessage="1" xr:uid="{B38D4698-476C-464C-A746-D162E5801D5F}">
          <x14:formula1>
            <xm:f>背景数据!$S$2</xm:f>
          </x14:formula1>
          <xm:sqref>S5:AN5</xm:sqref>
        </x14:dataValidation>
        <x14:dataValidation type="list" allowBlank="1" showInputMessage="1" xr:uid="{E8C118C9-CF37-4150-A910-D1D7C61A1376}">
          <x14:formula1>
            <xm:f>背景数据!$T$2</xm:f>
          </x14:formula1>
          <xm:sqref>S6:AN6</xm:sqref>
        </x14:dataValidation>
        <x14:dataValidation type="list" allowBlank="1" showInputMessage="1" xr:uid="{2BFE4CB9-2965-4225-9238-B71158E26503}">
          <x14:formula1>
            <xm:f>背景数据!$U$2</xm:f>
          </x14:formula1>
          <xm:sqref>S7:AN9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249977111117893"/>
    <pageSetUpPr fitToPage="1"/>
  </sheetPr>
  <dimension ref="A1:CO149"/>
  <sheetViews>
    <sheetView showGridLines="0" tabSelected="1" zoomScale="85" zoomScaleNormal="85" workbookViewId="0">
      <selection activeCell="K13" sqref="K13:L13"/>
    </sheetView>
  </sheetViews>
  <sheetFormatPr defaultColWidth="2.33203125" defaultRowHeight="16.649999999999999" customHeight="1"/>
  <cols>
    <col min="1" max="39" width="2.33203125" style="5"/>
    <col min="40" max="40" width="2.5546875" style="5" bestFit="1" customWidth="1"/>
    <col min="41" max="47" width="2.33203125" style="5"/>
    <col min="48" max="48" width="2.6640625" style="5" bestFit="1" customWidth="1"/>
    <col min="49" max="49" width="2.33203125" style="5" customWidth="1"/>
    <col min="50" max="71" width="2.33203125" style="5"/>
    <col min="72" max="16384" width="2.33203125" style="3"/>
  </cols>
  <sheetData>
    <row r="1" spans="1:93" ht="16.649999999999999" customHeight="1">
      <c r="A1" s="533" t="s">
        <v>6656</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33"/>
      <c r="AL1" s="533"/>
      <c r="AM1" s="533"/>
      <c r="AN1" s="533"/>
      <c r="AO1" s="533"/>
      <c r="AP1" s="533"/>
      <c r="AQ1" s="533"/>
      <c r="AR1" s="533"/>
      <c r="AS1" s="533"/>
      <c r="AT1" s="533"/>
      <c r="AU1" s="533"/>
      <c r="AV1" s="271" t="str">
        <f>".st"&amp;
" 力量"&amp;IF($B$13="O","*","")&amp;":"&amp;$F$13&amp;
" 敏捷"&amp;IF($B$14="O","*","")&amp;":"&amp;$F$14&amp;
" 体质"&amp;IF($B$15="O","*","")&amp;":"&amp;$F$15&amp;
" 智力"&amp;IF($B$16="O","*","")&amp;":"&amp;$F$16&amp;
" 感知"&amp;IF($B$17="O","*","")&amp;":"&amp;$F$17&amp;
" 魅力"&amp;IF($B$18="O","*","")&amp;":"&amp;$F$18&amp;
" hp"&amp;":"&amp;R22&amp;" hpmax"&amp;":"&amp;V22&amp;
" 先攻"&amp;":"&amp;D22&amp;" ac"&amp;":"&amp;D23&amp;" dc"&amp;":"&amp;D24&amp;" pp"&amp;":"&amp;$L$23&amp;" 熟练"&amp;":"&amp;S3&amp;
" 运动"&amp;IF($B$41="O","*",IF($B$41="🅞","*2",IF($H$39="O","*0.5","")))&amp;":"&amp;IF($F$41+$X$11="",0,$F$41+$X$11)&amp;
" 特技"&amp;IF($B$43="O","*",IF($B$43="🅞","*2",IF($H$39="O","*0.5","")))&amp;":"&amp;IF($F$43+$X$11="",0,$F$43+$X$11)&amp;
" 巧手"&amp;IF($B$44="O","*",IF($B$44="🅞","*2",IF($H$39="O","*0.5","")))&amp;":"&amp;IF($F$44+$X$11="",0,$F$44+$X$11)&amp;
" 隐匿"&amp;IF($B$45="O","*",IF($B$45="🅞","*2",IF($H$39="O","*0.5","")))&amp;":"&amp;IF($F$45+$X$11="",0,$F$45+$X$11)&amp;
" 调查"&amp;IF($B$47="O","*",IF($B$47="🅞","*2",IF($H$39="O","*0.5","")))&amp;":"&amp;IF($F$47+$X$11="",0,$F$47+$X$11)&amp;
" 奥秘"&amp;IF($B$48="O","*",IF($B$48="🅞","*2",IF($H$39="O","*0.5","")))&amp;":"&amp;IF($F$48+$X$11="",0,$F$48+$X$11)&amp;
" 历史"&amp;IF($B$49="O","*",IF($B$49="🅞","*2",IF($H$39="O","*0.5","")))&amp;":"&amp;IF($F$49+$X$11="",0,$F$49+$X$11)&amp;
" 自然"&amp;IF($B$50="O","*",IF($B$50="🅞","*2",IF($H$39="O","*0.5","")))&amp;":"&amp;IF($F$50+$X$11="",0,$F$50+$X$11)&amp;
" 宗教"&amp;IF($B$51="O","*",IF($B$51="🅞","*2",IF($H$39="O","*0.5","")))&amp;":"&amp;IF($F$51+$X$11="",0,$F$51+$X$11)&amp;
" 察觉"&amp;IF($B$53="O","*",IF($B$53="🅞","*2",IF($H$39="O","*0.5","")))&amp;":"&amp;IF($F$53+$X$11="",0,$F$53+$X$11)&amp;
" 洞悉"&amp;IF($B$54="O","*",IF($B$54="🅞","*2",IF($H$39="O","*0.5","")))&amp;":"&amp;IF($F$54+$X$11="",0,$F$54+$X$11)&amp;
" 驯兽"&amp;IF($B$55="O","*",IF($B$55="🅞","*2",IF($H$39="O","*0.5","")))&amp;":"&amp;IF($F$55+$X$11="",0,$F$55+$X$11)&amp;
" 医疗"&amp;IF($B$56="O","*",IF($B$56="🅞","*2",IF($H$39="O","*0.5","")))&amp;":"&amp;IF($F$56+$X$11="",0,$F$56+$X$11)&amp;
" 求生"&amp;IF($B$57="O","*",IF($B$57="🅞","*2",IF($H$39="O","*0.5","")))&amp;":"&amp;IF($F$57+$X$11="",0,$F$57+$X$11)&amp;
" 游说"&amp;IF($B$59="O","*",IF($B$59="🅞","*2",IF($H$39="O","*0.5","")))&amp;":"&amp;IF($F$59+$X$11="",0,$F$59+$X$11)&amp;
" 欺瞒"&amp;IF($B$60="O","*",IF($B$60="🅞","*2",IF($H$39="O","*0.5","")))&amp;":"&amp;IF($F$60+$X$11="",0,$F$60+$X$11)&amp;
" 威吓"&amp;IF($B$61="O","*",IF($B$61="🅞","*2",IF($H$39="O","*0.5","")))&amp;":"&amp;IF($F$61+$X$11="",0,$F$61+$X$11)&amp;
" 表演"&amp;IF($B$62="O","*",IF($B$62="🅞","*2",IF($H$39="O","*0.5","")))&amp;":"&amp;IF($F$62+$X$11="",0,$F$62+$X$11)</f>
        <v>.st 力量:10 敏捷:10 体质:10 智力:10 感知:10 魅力:10 hp:0 hpmax:0 先攻:0 ac:10 dc:10 pp:10 熟练:2 运动:0 特技:0 巧手:0 隐匿:0 调查:0 奥秘:0 历史:0 自然:0 宗教:0 察觉:0 洞悉:0 驯兽:0 医疗:0 求生:0 游说:0 欺瞒:0 威吓:0 表演:0</v>
      </c>
      <c r="AW1" s="533" t="s">
        <v>5826</v>
      </c>
      <c r="AX1" s="533"/>
      <c r="AY1" s="533"/>
      <c r="AZ1" s="533"/>
      <c r="BA1" s="533"/>
      <c r="BB1" s="533"/>
      <c r="BC1" s="533"/>
      <c r="BD1" s="533"/>
      <c r="BE1" s="533"/>
      <c r="BF1" s="533"/>
      <c r="BG1" s="533"/>
      <c r="BH1" s="533"/>
      <c r="BI1" s="533"/>
      <c r="BJ1" s="533"/>
      <c r="BK1" s="687" t="s">
        <v>5828</v>
      </c>
      <c r="BL1" s="687"/>
      <c r="BM1" s="687"/>
      <c r="BN1" s="687"/>
      <c r="BO1" s="687"/>
      <c r="BP1" s="687"/>
      <c r="BQ1" s="688" t="s">
        <v>5834</v>
      </c>
      <c r="BR1" s="688"/>
      <c r="BT1" s="533" t="s">
        <v>131</v>
      </c>
      <c r="BU1" s="533"/>
      <c r="BV1" s="533"/>
      <c r="BW1" s="533"/>
      <c r="BX1" s="533"/>
      <c r="BY1" s="533"/>
      <c r="BZ1" s="533"/>
      <c r="CA1" s="533"/>
      <c r="CB1" s="533"/>
      <c r="CC1" s="533"/>
      <c r="CD1" s="533"/>
      <c r="CE1" s="533"/>
      <c r="CF1" s="533"/>
      <c r="CG1" s="533"/>
      <c r="CH1" s="533"/>
      <c r="CI1" s="533"/>
      <c r="CJ1" s="533"/>
      <c r="CK1" s="533"/>
      <c r="CL1" s="533"/>
      <c r="CM1" s="533"/>
      <c r="CN1" s="533"/>
      <c r="CO1" s="533"/>
    </row>
    <row r="2" spans="1:93" ht="16.649999999999999" customHeight="1">
      <c r="AX2" s="481" t="s">
        <v>11</v>
      </c>
      <c r="AY2" s="481"/>
      <c r="AZ2" s="481" t="s">
        <v>12</v>
      </c>
      <c r="BA2" s="481"/>
      <c r="BB2" s="481" t="s">
        <v>13</v>
      </c>
      <c r="BC2" s="481"/>
      <c r="BD2" s="481" t="s">
        <v>14</v>
      </c>
      <c r="BE2" s="481"/>
      <c r="BF2" s="481" t="s">
        <v>15</v>
      </c>
      <c r="BG2" s="481"/>
      <c r="BH2" s="481" t="s">
        <v>16</v>
      </c>
      <c r="BI2" s="481"/>
      <c r="BJ2" s="481" t="s">
        <v>17</v>
      </c>
      <c r="BK2" s="481"/>
      <c r="BL2" s="481" t="s">
        <v>18</v>
      </c>
      <c r="BM2" s="481"/>
      <c r="BN2" s="481" t="s">
        <v>19</v>
      </c>
      <c r="BO2" s="481"/>
      <c r="BP2" s="481" t="s">
        <v>20</v>
      </c>
      <c r="BQ2" s="481"/>
      <c r="BR2" s="434"/>
      <c r="BT2" s="481" t="s">
        <v>76</v>
      </c>
      <c r="BU2" s="481"/>
      <c r="BV2" s="481"/>
      <c r="BW2" s="481"/>
      <c r="BX2" s="481"/>
      <c r="BY2" s="481"/>
      <c r="BZ2" s="481" t="s">
        <v>132</v>
      </c>
      <c r="CA2" s="481"/>
      <c r="CB2" s="481"/>
      <c r="CC2" s="481"/>
      <c r="CD2" s="481"/>
      <c r="CE2" s="481"/>
      <c r="CF2" s="481"/>
      <c r="CG2" s="481"/>
      <c r="CH2" s="481"/>
      <c r="CI2" s="481"/>
      <c r="CJ2" s="481"/>
      <c r="CK2" s="481"/>
      <c r="CL2" s="481"/>
      <c r="CM2" s="481"/>
      <c r="CN2" s="481"/>
      <c r="CO2" s="481"/>
    </row>
    <row r="3" spans="1:93" ht="16.649999999999999" customHeight="1">
      <c r="B3" s="597" t="s">
        <v>1</v>
      </c>
      <c r="C3" s="597"/>
      <c r="D3" s="597"/>
      <c r="E3" s="580"/>
      <c r="F3" s="580"/>
      <c r="G3" s="580"/>
      <c r="H3" s="580"/>
      <c r="I3" s="580"/>
      <c r="J3" s="580"/>
      <c r="K3" s="580"/>
      <c r="L3" s="580"/>
      <c r="M3" s="580"/>
      <c r="N3" s="580"/>
      <c r="Q3" s="596" t="s">
        <v>36</v>
      </c>
      <c r="R3" s="596"/>
      <c r="S3" s="595">
        <f>IFERROR(VLOOKUP(SUM(O6,O7,O8),数据表!CI47:CJ66,2,FALSE)+W4,"×")</f>
        <v>2</v>
      </c>
      <c r="T3" s="595"/>
      <c r="U3" s="595"/>
      <c r="W3" s="481" t="s">
        <v>5281</v>
      </c>
      <c r="X3" s="481"/>
      <c r="AA3" s="676"/>
      <c r="AB3" s="677"/>
      <c r="AC3" s="677"/>
      <c r="AD3" s="677"/>
      <c r="AE3" s="677"/>
      <c r="AF3" s="677"/>
      <c r="AG3" s="677"/>
      <c r="AH3" s="677"/>
      <c r="AI3" s="677"/>
      <c r="AJ3" s="677"/>
      <c r="AK3" s="677"/>
      <c r="AL3" s="677"/>
      <c r="AM3" s="677"/>
      <c r="AN3" s="677"/>
      <c r="AO3" s="677"/>
      <c r="AP3" s="677"/>
      <c r="AQ3" s="677"/>
      <c r="AR3" s="677"/>
      <c r="AS3" s="677"/>
      <c r="AT3" s="678"/>
      <c r="AW3" s="528" t="s">
        <v>22</v>
      </c>
      <c r="AX3" s="580"/>
      <c r="AY3" s="580"/>
      <c r="AZ3" s="580"/>
      <c r="BA3" s="580"/>
      <c r="BB3" s="580"/>
      <c r="BC3" s="580"/>
      <c r="BD3" s="580"/>
      <c r="BE3" s="580"/>
      <c r="BF3" s="580"/>
      <c r="BG3" s="580"/>
      <c r="BH3" s="580"/>
      <c r="BI3" s="580"/>
      <c r="BJ3" s="580"/>
      <c r="BK3" s="580"/>
      <c r="BL3" s="580"/>
      <c r="BM3" s="580"/>
      <c r="BN3" s="580"/>
      <c r="BO3" s="580"/>
      <c r="BP3" s="580"/>
      <c r="BQ3" s="580"/>
      <c r="BT3" s="516"/>
      <c r="BU3" s="516"/>
      <c r="BV3" s="516"/>
      <c r="BW3" s="516"/>
      <c r="BX3" s="516"/>
      <c r="BY3" s="516"/>
      <c r="BZ3" s="515"/>
      <c r="CA3" s="515"/>
      <c r="CB3" s="515"/>
      <c r="CC3" s="515"/>
      <c r="CD3" s="515"/>
      <c r="CE3" s="515"/>
      <c r="CF3" s="515"/>
      <c r="CG3" s="515"/>
      <c r="CH3" s="515"/>
      <c r="CI3" s="515"/>
      <c r="CJ3" s="515"/>
      <c r="CK3" s="515"/>
      <c r="CL3" s="515"/>
      <c r="CM3" s="515"/>
      <c r="CN3" s="515"/>
      <c r="CO3" s="515"/>
    </row>
    <row r="4" spans="1:93" ht="16.649999999999999" customHeight="1">
      <c r="B4" s="598" t="s">
        <v>3</v>
      </c>
      <c r="C4" s="598"/>
      <c r="D4" s="598"/>
      <c r="E4" s="580" t="s">
        <v>6463</v>
      </c>
      <c r="F4" s="580"/>
      <c r="G4" s="580"/>
      <c r="H4" s="580"/>
      <c r="I4" s="580"/>
      <c r="J4" s="580"/>
      <c r="K4" s="580"/>
      <c r="L4" s="580"/>
      <c r="M4" s="580"/>
      <c r="N4" s="580"/>
      <c r="Q4" s="596"/>
      <c r="R4" s="596"/>
      <c r="S4" s="595"/>
      <c r="T4" s="595"/>
      <c r="U4" s="595"/>
      <c r="V4" s="433" t="s">
        <v>40</v>
      </c>
      <c r="W4" s="580"/>
      <c r="X4" s="580"/>
      <c r="AA4" s="679"/>
      <c r="AB4" s="680"/>
      <c r="AC4" s="680"/>
      <c r="AD4" s="680"/>
      <c r="AE4" s="680"/>
      <c r="AF4" s="680"/>
      <c r="AG4" s="680"/>
      <c r="AH4" s="680"/>
      <c r="AI4" s="680"/>
      <c r="AJ4" s="680"/>
      <c r="AK4" s="680"/>
      <c r="AL4" s="680"/>
      <c r="AM4" s="680"/>
      <c r="AN4" s="680"/>
      <c r="AO4" s="680"/>
      <c r="AP4" s="680"/>
      <c r="AQ4" s="680"/>
      <c r="AR4" s="680"/>
      <c r="AS4" s="680"/>
      <c r="AT4" s="681"/>
      <c r="AW4" s="528"/>
      <c r="AX4" s="481" t="s">
        <v>24</v>
      </c>
      <c r="AY4" s="481"/>
      <c r="AZ4" s="481" t="s">
        <v>25</v>
      </c>
      <c r="BA4" s="481"/>
      <c r="BB4" s="481" t="s">
        <v>26</v>
      </c>
      <c r="BC4" s="481"/>
      <c r="BD4" s="481" t="s">
        <v>27</v>
      </c>
      <c r="BE4" s="481"/>
      <c r="BF4" s="481" t="s">
        <v>28</v>
      </c>
      <c r="BG4" s="481"/>
      <c r="BH4" s="481" t="s">
        <v>29</v>
      </c>
      <c r="BI4" s="481"/>
      <c r="BJ4" s="481" t="s">
        <v>30</v>
      </c>
      <c r="BK4" s="481"/>
      <c r="BL4" s="481" t="s">
        <v>31</v>
      </c>
      <c r="BM4" s="481"/>
      <c r="BN4" s="481" t="s">
        <v>32</v>
      </c>
      <c r="BO4" s="481"/>
      <c r="BP4" s="481" t="s">
        <v>33</v>
      </c>
      <c r="BQ4" s="481"/>
      <c r="BT4" s="489"/>
      <c r="BU4" s="489"/>
      <c r="BV4" s="489"/>
      <c r="BW4" s="489"/>
      <c r="BX4" s="489"/>
      <c r="BY4" s="489"/>
      <c r="BZ4" s="514"/>
      <c r="CA4" s="514"/>
      <c r="CB4" s="514"/>
      <c r="CC4" s="514"/>
      <c r="CD4" s="514"/>
      <c r="CE4" s="514"/>
      <c r="CF4" s="514"/>
      <c r="CG4" s="514"/>
      <c r="CH4" s="514"/>
      <c r="CI4" s="514"/>
      <c r="CJ4" s="514"/>
      <c r="CK4" s="514"/>
      <c r="CL4" s="514"/>
      <c r="CM4" s="514"/>
      <c r="CN4" s="514"/>
      <c r="CO4" s="514"/>
    </row>
    <row r="5" spans="1:93" ht="16.649999999999999" customHeight="1">
      <c r="E5" s="481" t="s">
        <v>5811</v>
      </c>
      <c r="F5" s="481"/>
      <c r="G5" s="481"/>
      <c r="H5" s="481"/>
      <c r="I5" s="481" t="s">
        <v>5812</v>
      </c>
      <c r="J5" s="481"/>
      <c r="K5" s="481"/>
      <c r="L5" s="481"/>
      <c r="M5" s="481"/>
      <c r="N5" s="481"/>
      <c r="O5" s="481" t="s">
        <v>10</v>
      </c>
      <c r="P5" s="481"/>
      <c r="AA5" s="679"/>
      <c r="AB5" s="680"/>
      <c r="AC5" s="680"/>
      <c r="AD5" s="680"/>
      <c r="AE5" s="680"/>
      <c r="AF5" s="680"/>
      <c r="AG5" s="680"/>
      <c r="AH5" s="680"/>
      <c r="AI5" s="680"/>
      <c r="AJ5" s="680"/>
      <c r="AK5" s="680"/>
      <c r="AL5" s="680"/>
      <c r="AM5" s="680"/>
      <c r="AN5" s="680"/>
      <c r="AO5" s="680"/>
      <c r="AP5" s="680"/>
      <c r="AQ5" s="680"/>
      <c r="AR5" s="680"/>
      <c r="AS5" s="680"/>
      <c r="AT5" s="681"/>
      <c r="AW5" s="528"/>
      <c r="AX5" s="580"/>
      <c r="AY5" s="580"/>
      <c r="AZ5" s="580"/>
      <c r="BA5" s="580"/>
      <c r="BB5" s="580"/>
      <c r="BC5" s="580"/>
      <c r="BD5" s="580"/>
      <c r="BE5" s="580"/>
      <c r="BF5" s="580"/>
      <c r="BG5" s="580"/>
      <c r="BH5" s="580"/>
      <c r="BI5" s="580"/>
      <c r="BJ5" s="580"/>
      <c r="BK5" s="580"/>
      <c r="BL5" s="580"/>
      <c r="BM5" s="580"/>
      <c r="BN5" s="580"/>
      <c r="BO5" s="580"/>
      <c r="BP5" s="580"/>
      <c r="BQ5" s="580"/>
      <c r="BT5" s="516"/>
      <c r="BU5" s="516"/>
      <c r="BV5" s="516"/>
      <c r="BW5" s="516"/>
      <c r="BX5" s="516"/>
      <c r="BY5" s="516"/>
      <c r="BZ5" s="515"/>
      <c r="CA5" s="515"/>
      <c r="CB5" s="515"/>
      <c r="CC5" s="515"/>
      <c r="CD5" s="515"/>
      <c r="CE5" s="515"/>
      <c r="CF5" s="515"/>
      <c r="CG5" s="515"/>
      <c r="CH5" s="515"/>
      <c r="CI5" s="515"/>
      <c r="CJ5" s="515"/>
      <c r="CK5" s="515"/>
      <c r="CL5" s="515"/>
      <c r="CM5" s="515"/>
      <c r="CN5" s="515"/>
      <c r="CO5" s="515"/>
    </row>
    <row r="6" spans="1:93" ht="16.649999999999999" customHeight="1">
      <c r="B6" s="596" t="s">
        <v>4014</v>
      </c>
      <c r="C6" s="596"/>
      <c r="D6" s="596"/>
      <c r="E6" s="599"/>
      <c r="F6" s="599"/>
      <c r="G6" s="599"/>
      <c r="H6" s="599"/>
      <c r="I6" s="599"/>
      <c r="J6" s="599"/>
      <c r="K6" s="599"/>
      <c r="L6" s="599"/>
      <c r="M6" s="599"/>
      <c r="N6" s="599"/>
      <c r="O6" s="580">
        <v>1</v>
      </c>
      <c r="P6" s="580"/>
      <c r="R6" s="597" t="s">
        <v>23</v>
      </c>
      <c r="S6" s="597"/>
      <c r="T6" s="587"/>
      <c r="U6" s="587"/>
      <c r="V6" s="587"/>
      <c r="W6" s="587"/>
      <c r="X6" s="587"/>
      <c r="AA6" s="679"/>
      <c r="AB6" s="680"/>
      <c r="AC6" s="680"/>
      <c r="AD6" s="680"/>
      <c r="AE6" s="680"/>
      <c r="AF6" s="680"/>
      <c r="AG6" s="680"/>
      <c r="AH6" s="680"/>
      <c r="AI6" s="680"/>
      <c r="AJ6" s="680"/>
      <c r="AK6" s="680"/>
      <c r="AL6" s="680"/>
      <c r="AM6" s="680"/>
      <c r="AN6" s="680"/>
      <c r="AO6" s="680"/>
      <c r="AP6" s="680"/>
      <c r="AQ6" s="680"/>
      <c r="AR6" s="680"/>
      <c r="AS6" s="680"/>
      <c r="AT6" s="681"/>
      <c r="AU6" s="48"/>
      <c r="AW6" s="528"/>
      <c r="AX6" s="493" t="s">
        <v>5829</v>
      </c>
      <c r="AY6" s="493"/>
      <c r="AZ6" s="493"/>
      <c r="BB6" s="493" t="s">
        <v>5825</v>
      </c>
      <c r="BC6" s="493"/>
      <c r="BD6" s="493"/>
      <c r="BF6" s="493" t="s">
        <v>37</v>
      </c>
      <c r="BG6" s="493"/>
      <c r="BH6" s="493"/>
      <c r="BI6" s="481" t="s">
        <v>38</v>
      </c>
      <c r="BJ6" s="493"/>
      <c r="BK6" s="493"/>
      <c r="BL6" s="493"/>
      <c r="BM6" s="493"/>
      <c r="BN6" s="493"/>
      <c r="BO6" s="493"/>
      <c r="BP6" s="493"/>
      <c r="BQ6" s="493"/>
      <c r="BT6" s="489"/>
      <c r="BU6" s="489"/>
      <c r="BV6" s="489"/>
      <c r="BW6" s="489"/>
      <c r="BX6" s="489"/>
      <c r="BY6" s="489"/>
      <c r="BZ6" s="514"/>
      <c r="CA6" s="514"/>
      <c r="CB6" s="514"/>
      <c r="CC6" s="514"/>
      <c r="CD6" s="514"/>
      <c r="CE6" s="514"/>
      <c r="CF6" s="514"/>
      <c r="CG6" s="514"/>
      <c r="CH6" s="514"/>
      <c r="CI6" s="514"/>
      <c r="CJ6" s="514"/>
      <c r="CK6" s="514"/>
      <c r="CL6" s="514"/>
      <c r="CM6" s="514"/>
      <c r="CN6" s="514"/>
      <c r="CO6" s="514"/>
    </row>
    <row r="7" spans="1:93" ht="16.649999999999999" customHeight="1">
      <c r="B7" s="622" t="s">
        <v>4015</v>
      </c>
      <c r="C7" s="622"/>
      <c r="D7" s="622"/>
      <c r="E7" s="599"/>
      <c r="F7" s="599"/>
      <c r="G7" s="599"/>
      <c r="H7" s="599"/>
      <c r="I7" s="599"/>
      <c r="J7" s="599"/>
      <c r="K7" s="599"/>
      <c r="L7" s="599"/>
      <c r="M7" s="599"/>
      <c r="N7" s="599"/>
      <c r="O7" s="580"/>
      <c r="P7" s="580"/>
      <c r="R7" s="621" t="s">
        <v>34</v>
      </c>
      <c r="S7" s="621"/>
      <c r="T7" s="611"/>
      <c r="U7" s="611"/>
      <c r="V7" s="611"/>
      <c r="W7" s="611"/>
      <c r="X7" s="611"/>
      <c r="Y7" s="3"/>
      <c r="AA7" s="679"/>
      <c r="AB7" s="680"/>
      <c r="AC7" s="680"/>
      <c r="AD7" s="680"/>
      <c r="AE7" s="680"/>
      <c r="AF7" s="680"/>
      <c r="AG7" s="680"/>
      <c r="AH7" s="680"/>
      <c r="AI7" s="680"/>
      <c r="AJ7" s="680"/>
      <c r="AK7" s="680"/>
      <c r="AL7" s="680"/>
      <c r="AM7" s="680"/>
      <c r="AN7" s="680"/>
      <c r="AO7" s="680"/>
      <c r="AP7" s="680"/>
      <c r="AQ7" s="680"/>
      <c r="AR7" s="680"/>
      <c r="AS7" s="680"/>
      <c r="AT7" s="681"/>
      <c r="AW7" s="528"/>
      <c r="AX7" s="580"/>
      <c r="AY7" s="580"/>
      <c r="AZ7" s="580"/>
      <c r="BB7" s="580"/>
      <c r="BC7" s="580"/>
      <c r="BD7" s="580"/>
      <c r="BF7" s="686">
        <f>IF(BQ1="否",SUM(AX3:BQ3,AX5:BQ5,(R15+AX7)*(O6+O7+O8),BB7),SUM(O6*职业!AF2,O7*职业!AF3,O8*职业!AF4,职业!AF7,(R15+AX7)*(O6+O7+O8),BB7))</f>
        <v>0</v>
      </c>
      <c r="BG7" s="686"/>
      <c r="BH7" s="686"/>
      <c r="BI7" s="493"/>
      <c r="BJ7" s="493"/>
      <c r="BK7" s="493"/>
      <c r="BL7" s="493"/>
      <c r="BM7" s="493"/>
      <c r="BN7" s="493"/>
      <c r="BO7" s="493"/>
      <c r="BP7" s="493"/>
      <c r="BQ7" s="493"/>
      <c r="BT7" s="516"/>
      <c r="BU7" s="516"/>
      <c r="BV7" s="516"/>
      <c r="BW7" s="516"/>
      <c r="BX7" s="516"/>
      <c r="BY7" s="516"/>
      <c r="BZ7" s="515"/>
      <c r="CA7" s="515"/>
      <c r="CB7" s="515"/>
      <c r="CC7" s="515"/>
      <c r="CD7" s="515"/>
      <c r="CE7" s="515"/>
      <c r="CF7" s="515"/>
      <c r="CG7" s="515"/>
      <c r="CH7" s="515"/>
      <c r="CI7" s="515"/>
      <c r="CJ7" s="515"/>
      <c r="CK7" s="515"/>
      <c r="CL7" s="515"/>
      <c r="CM7" s="515"/>
      <c r="CN7" s="515"/>
      <c r="CO7" s="515"/>
    </row>
    <row r="8" spans="1:93" ht="16.649999999999999" customHeight="1">
      <c r="B8" s="646" t="s">
        <v>4016</v>
      </c>
      <c r="C8" s="646"/>
      <c r="D8" s="646"/>
      <c r="E8" s="599"/>
      <c r="F8" s="599"/>
      <c r="G8" s="599"/>
      <c r="H8" s="599"/>
      <c r="I8" s="599"/>
      <c r="J8" s="599"/>
      <c r="K8" s="599"/>
      <c r="L8" s="599"/>
      <c r="M8" s="599"/>
      <c r="N8" s="599"/>
      <c r="O8" s="580"/>
      <c r="P8" s="580"/>
      <c r="R8" s="621" t="s">
        <v>35</v>
      </c>
      <c r="S8" s="621"/>
      <c r="T8" s="580"/>
      <c r="U8" s="580"/>
      <c r="V8" s="580"/>
      <c r="W8" s="580"/>
      <c r="X8" s="580"/>
      <c r="Y8" s="3"/>
      <c r="AA8" s="679"/>
      <c r="AB8" s="680"/>
      <c r="AC8" s="680"/>
      <c r="AD8" s="680"/>
      <c r="AE8" s="680"/>
      <c r="AF8" s="680"/>
      <c r="AG8" s="680"/>
      <c r="AH8" s="680"/>
      <c r="AI8" s="680"/>
      <c r="AJ8" s="680"/>
      <c r="AK8" s="680"/>
      <c r="AL8" s="680"/>
      <c r="AM8" s="680"/>
      <c r="AN8" s="680"/>
      <c r="AO8" s="680"/>
      <c r="AP8" s="680"/>
      <c r="AQ8" s="680"/>
      <c r="AR8" s="680"/>
      <c r="AS8" s="680"/>
      <c r="AT8" s="681"/>
      <c r="BT8" s="489"/>
      <c r="BU8" s="489"/>
      <c r="BV8" s="489"/>
      <c r="BW8" s="489"/>
      <c r="BX8" s="489"/>
      <c r="BY8" s="489"/>
      <c r="BZ8" s="514"/>
      <c r="CA8" s="514"/>
      <c r="CB8" s="514"/>
      <c r="CC8" s="514"/>
      <c r="CD8" s="514"/>
      <c r="CE8" s="514"/>
      <c r="CF8" s="514"/>
      <c r="CG8" s="514"/>
      <c r="CH8" s="514"/>
      <c r="CI8" s="514"/>
      <c r="CJ8" s="514"/>
      <c r="CK8" s="514"/>
      <c r="CL8" s="514"/>
      <c r="CM8" s="514"/>
      <c r="CN8" s="514"/>
      <c r="CO8" s="514"/>
    </row>
    <row r="9" spans="1:93" ht="16.649999999999999" customHeight="1">
      <c r="B9" s="598" t="s">
        <v>21</v>
      </c>
      <c r="C9" s="598"/>
      <c r="D9" s="598"/>
      <c r="E9" s="580"/>
      <c r="F9" s="580"/>
      <c r="G9" s="580"/>
      <c r="H9" s="580"/>
      <c r="I9" s="580"/>
      <c r="J9" s="580"/>
      <c r="K9" s="580"/>
      <c r="L9" s="580"/>
      <c r="M9" s="580"/>
      <c r="N9" s="580"/>
      <c r="O9" s="620" t="str">
        <f>IF(E9="","","Lv "&amp;VLOOKUP(E9,数据表!CF20:CG39,2,TRUE))</f>
        <v/>
      </c>
      <c r="P9" s="620"/>
      <c r="R9" s="598" t="s">
        <v>39</v>
      </c>
      <c r="S9" s="598"/>
      <c r="T9" s="612"/>
      <c r="U9" s="612"/>
      <c r="V9" s="612"/>
      <c r="W9" s="612"/>
      <c r="X9" s="612"/>
      <c r="Y9" s="3"/>
      <c r="AA9" s="679"/>
      <c r="AB9" s="680"/>
      <c r="AC9" s="680"/>
      <c r="AD9" s="680"/>
      <c r="AE9" s="680"/>
      <c r="AF9" s="680"/>
      <c r="AG9" s="680"/>
      <c r="AH9" s="680"/>
      <c r="AI9" s="680"/>
      <c r="AJ9" s="680"/>
      <c r="AK9" s="680"/>
      <c r="AL9" s="680"/>
      <c r="AM9" s="680"/>
      <c r="AN9" s="680"/>
      <c r="AO9" s="680"/>
      <c r="AP9" s="680"/>
      <c r="AQ9" s="680"/>
      <c r="AR9" s="680"/>
      <c r="AS9" s="680"/>
      <c r="AT9" s="681"/>
      <c r="AW9" s="491"/>
      <c r="AX9" s="491"/>
      <c r="AY9" s="491"/>
      <c r="AZ9" s="491"/>
      <c r="BA9" s="491"/>
      <c r="BB9" s="491"/>
      <c r="BC9" s="377"/>
      <c r="BD9" s="491"/>
      <c r="BE9" s="491"/>
      <c r="BF9" s="491"/>
      <c r="BG9" s="491"/>
      <c r="BH9" s="491"/>
      <c r="BI9" s="491"/>
      <c r="BJ9" s="527" t="s">
        <v>130</v>
      </c>
      <c r="BK9" s="527"/>
      <c r="BL9" s="527"/>
      <c r="BM9" s="527"/>
      <c r="BN9" s="527"/>
      <c r="BO9" s="527"/>
      <c r="BP9" s="527"/>
      <c r="BQ9" s="527"/>
      <c r="BR9" s="527"/>
      <c r="BT9" s="516"/>
      <c r="BU9" s="516"/>
      <c r="BV9" s="516"/>
      <c r="BW9" s="516"/>
      <c r="BX9" s="516"/>
      <c r="BY9" s="516"/>
      <c r="BZ9" s="515"/>
      <c r="CA9" s="515"/>
      <c r="CB9" s="515"/>
      <c r="CC9" s="515"/>
      <c r="CD9" s="515"/>
      <c r="CE9" s="515"/>
      <c r="CF9" s="515"/>
      <c r="CG9" s="515"/>
      <c r="CH9" s="515"/>
      <c r="CI9" s="515"/>
      <c r="CJ9" s="515"/>
      <c r="CK9" s="515"/>
      <c r="CL9" s="515"/>
      <c r="CM9" s="515"/>
      <c r="CN9" s="515"/>
      <c r="CO9" s="515"/>
    </row>
    <row r="10" spans="1:93" ht="16.649999999999999" customHeight="1">
      <c r="AA10" s="679"/>
      <c r="AB10" s="680"/>
      <c r="AC10" s="680"/>
      <c r="AD10" s="680"/>
      <c r="AE10" s="680"/>
      <c r="AF10" s="680"/>
      <c r="AG10" s="680"/>
      <c r="AH10" s="680"/>
      <c r="AI10" s="680"/>
      <c r="AJ10" s="680"/>
      <c r="AK10" s="680"/>
      <c r="AL10" s="680"/>
      <c r="AM10" s="680"/>
      <c r="AN10" s="680"/>
      <c r="AO10" s="680"/>
      <c r="AP10" s="680"/>
      <c r="AQ10" s="680"/>
      <c r="AR10" s="680"/>
      <c r="AS10" s="680"/>
      <c r="AT10" s="681"/>
      <c r="AW10" s="432" t="s">
        <v>10</v>
      </c>
      <c r="AX10" s="481" t="s">
        <v>76</v>
      </c>
      <c r="AY10" s="481"/>
      <c r="AZ10" s="481"/>
      <c r="BA10" s="481"/>
      <c r="BB10" s="481"/>
      <c r="BC10" s="481" t="s">
        <v>132</v>
      </c>
      <c r="BD10" s="481"/>
      <c r="BE10" s="481"/>
      <c r="BF10" s="481"/>
      <c r="BG10" s="481"/>
      <c r="BH10" s="481"/>
      <c r="BI10" s="481"/>
      <c r="BJ10" s="481"/>
      <c r="BK10" s="481"/>
      <c r="BL10" s="481"/>
      <c r="BM10" s="481"/>
      <c r="BN10" s="481"/>
      <c r="BO10" s="481"/>
      <c r="BP10" s="481"/>
      <c r="BQ10" s="481"/>
      <c r="BR10" s="481"/>
      <c r="BT10" s="489"/>
      <c r="BU10" s="489"/>
      <c r="BV10" s="489"/>
      <c r="BW10" s="489"/>
      <c r="BX10" s="489"/>
      <c r="BY10" s="489"/>
      <c r="BZ10" s="514"/>
      <c r="CA10" s="514"/>
      <c r="CB10" s="514"/>
      <c r="CC10" s="514"/>
      <c r="CD10" s="514"/>
      <c r="CE10" s="514"/>
      <c r="CF10" s="514"/>
      <c r="CG10" s="514"/>
      <c r="CH10" s="514"/>
      <c r="CI10" s="514"/>
      <c r="CJ10" s="514"/>
      <c r="CK10" s="514"/>
      <c r="CL10" s="514"/>
      <c r="CM10" s="514"/>
      <c r="CN10" s="514"/>
      <c r="CO10" s="514"/>
    </row>
    <row r="11" spans="1:93" ht="16.649999999999999" customHeight="1">
      <c r="A11" s="42"/>
      <c r="B11" s="533" t="s">
        <v>41</v>
      </c>
      <c r="C11" s="533"/>
      <c r="D11" s="533"/>
      <c r="E11" s="533"/>
      <c r="F11" s="533"/>
      <c r="G11" s="533"/>
      <c r="H11" s="533"/>
      <c r="I11" s="533"/>
      <c r="J11" s="533"/>
      <c r="K11" s="533"/>
      <c r="L11" s="533"/>
      <c r="M11" s="533"/>
      <c r="N11" s="533"/>
      <c r="O11" s="533"/>
      <c r="P11" s="533"/>
      <c r="Q11" s="533"/>
      <c r="R11" s="613" t="s">
        <v>6498</v>
      </c>
      <c r="S11" s="613"/>
      <c r="T11" s="613"/>
      <c r="U11" s="613"/>
      <c r="V11" s="613"/>
      <c r="W11" s="613"/>
      <c r="X11" s="614"/>
      <c r="Y11" s="614"/>
      <c r="AA11" s="679"/>
      <c r="AB11" s="680"/>
      <c r="AC11" s="680"/>
      <c r="AD11" s="680"/>
      <c r="AE11" s="680"/>
      <c r="AF11" s="680"/>
      <c r="AG11" s="680"/>
      <c r="AH11" s="680"/>
      <c r="AI11" s="680"/>
      <c r="AJ11" s="680"/>
      <c r="AK11" s="680"/>
      <c r="AL11" s="680"/>
      <c r="AM11" s="680"/>
      <c r="AN11" s="680"/>
      <c r="AO11" s="680"/>
      <c r="AP11" s="680"/>
      <c r="AQ11" s="680"/>
      <c r="AR11" s="680"/>
      <c r="AS11" s="680"/>
      <c r="AT11" s="681"/>
      <c r="AW11" s="373"/>
      <c r="AX11" s="516"/>
      <c r="AY11" s="516"/>
      <c r="AZ11" s="516"/>
      <c r="BA11" s="516"/>
      <c r="BB11" s="516"/>
      <c r="BC11" s="515"/>
      <c r="BD11" s="515"/>
      <c r="BE11" s="515"/>
      <c r="BF11" s="515"/>
      <c r="BG11" s="515"/>
      <c r="BH11" s="515"/>
      <c r="BI11" s="515"/>
      <c r="BJ11" s="515"/>
      <c r="BK11" s="515"/>
      <c r="BL11" s="515"/>
      <c r="BM11" s="515"/>
      <c r="BN11" s="515"/>
      <c r="BO11" s="515"/>
      <c r="BP11" s="515"/>
      <c r="BQ11" s="515"/>
      <c r="BR11" s="515"/>
      <c r="BS11" s="3"/>
      <c r="BT11" s="516"/>
      <c r="BU11" s="516"/>
      <c r="BV11" s="516"/>
      <c r="BW11" s="516"/>
      <c r="BX11" s="516"/>
      <c r="BY11" s="516"/>
      <c r="BZ11" s="515"/>
      <c r="CA11" s="515"/>
      <c r="CB11" s="515"/>
      <c r="CC11" s="515"/>
      <c r="CD11" s="515"/>
      <c r="CE11" s="515"/>
      <c r="CF11" s="515"/>
      <c r="CG11" s="515"/>
      <c r="CH11" s="515"/>
      <c r="CI11" s="515"/>
      <c r="CJ11" s="515"/>
      <c r="CK11" s="515"/>
      <c r="CL11" s="515"/>
      <c r="CM11" s="515"/>
      <c r="CN11" s="515"/>
      <c r="CO11" s="515"/>
    </row>
    <row r="12" spans="1:93" ht="16.649999999999999" customHeight="1">
      <c r="B12" s="429" t="s">
        <v>36</v>
      </c>
      <c r="C12" s="430"/>
      <c r="D12" s="431"/>
      <c r="E12" s="431"/>
      <c r="F12" s="481" t="s">
        <v>42</v>
      </c>
      <c r="G12" s="481"/>
      <c r="H12" s="431"/>
      <c r="I12" s="481" t="s">
        <v>43</v>
      </c>
      <c r="J12" s="481"/>
      <c r="K12" s="481" t="s">
        <v>23</v>
      </c>
      <c r="L12" s="481"/>
      <c r="M12" s="481" t="s">
        <v>44</v>
      </c>
      <c r="N12" s="481"/>
      <c r="O12" s="481" t="s">
        <v>45</v>
      </c>
      <c r="P12" s="481"/>
      <c r="Q12" s="431"/>
      <c r="R12" s="481" t="s">
        <v>46</v>
      </c>
      <c r="S12" s="481"/>
      <c r="T12" s="481" t="s">
        <v>47</v>
      </c>
      <c r="U12" s="481"/>
      <c r="V12" s="431"/>
      <c r="W12" s="481" t="s">
        <v>45</v>
      </c>
      <c r="X12" s="481"/>
      <c r="Y12" s="432"/>
      <c r="Z12" s="6"/>
      <c r="AA12" s="679"/>
      <c r="AB12" s="680"/>
      <c r="AC12" s="680"/>
      <c r="AD12" s="680"/>
      <c r="AE12" s="680"/>
      <c r="AF12" s="680"/>
      <c r="AG12" s="680"/>
      <c r="AH12" s="680"/>
      <c r="AI12" s="680"/>
      <c r="AJ12" s="680"/>
      <c r="AK12" s="680"/>
      <c r="AL12" s="680"/>
      <c r="AM12" s="680"/>
      <c r="AN12" s="680"/>
      <c r="AO12" s="680"/>
      <c r="AP12" s="680"/>
      <c r="AQ12" s="680"/>
      <c r="AR12" s="680"/>
      <c r="AS12" s="680"/>
      <c r="AT12" s="681"/>
      <c r="AW12" s="374"/>
      <c r="AX12" s="489"/>
      <c r="AY12" s="489"/>
      <c r="AZ12" s="489"/>
      <c r="BA12" s="489"/>
      <c r="BB12" s="489"/>
      <c r="BC12" s="514"/>
      <c r="BD12" s="514"/>
      <c r="BE12" s="514"/>
      <c r="BF12" s="514"/>
      <c r="BG12" s="514"/>
      <c r="BH12" s="514"/>
      <c r="BI12" s="514"/>
      <c r="BJ12" s="514"/>
      <c r="BK12" s="514"/>
      <c r="BL12" s="514"/>
      <c r="BM12" s="514"/>
      <c r="BN12" s="514"/>
      <c r="BO12" s="514"/>
      <c r="BP12" s="514"/>
      <c r="BQ12" s="514"/>
      <c r="BR12" s="514"/>
      <c r="BS12" s="3"/>
      <c r="BT12" s="489"/>
      <c r="BU12" s="489"/>
      <c r="BV12" s="489"/>
      <c r="BW12" s="489"/>
      <c r="BX12" s="489"/>
      <c r="BY12" s="489"/>
      <c r="BZ12" s="514"/>
      <c r="CA12" s="514"/>
      <c r="CB12" s="514"/>
      <c r="CC12" s="514"/>
      <c r="CD12" s="514"/>
      <c r="CE12" s="514"/>
      <c r="CF12" s="514"/>
      <c r="CG12" s="514"/>
      <c r="CH12" s="514"/>
      <c r="CI12" s="514"/>
      <c r="CJ12" s="514"/>
      <c r="CK12" s="514"/>
      <c r="CL12" s="514"/>
      <c r="CM12" s="514"/>
      <c r="CN12" s="514"/>
      <c r="CO12" s="514"/>
    </row>
    <row r="13" spans="1:93" ht="16.649999999999999" customHeight="1">
      <c r="A13" s="67"/>
      <c r="B13" s="442" t="s">
        <v>4020</v>
      </c>
      <c r="C13" s="588" t="s">
        <v>48</v>
      </c>
      <c r="D13" s="588"/>
      <c r="E13" s="588"/>
      <c r="F13" s="600">
        <f>I13+K13+M13+O13</f>
        <v>10</v>
      </c>
      <c r="G13" s="600"/>
      <c r="H13" s="50" t="s">
        <v>40</v>
      </c>
      <c r="I13" s="587">
        <v>10</v>
      </c>
      <c r="J13" s="587"/>
      <c r="K13" s="587"/>
      <c r="L13" s="587"/>
      <c r="M13" s="587"/>
      <c r="N13" s="587"/>
      <c r="O13" s="587"/>
      <c r="P13" s="587"/>
      <c r="Q13" s="50" t="s">
        <v>49</v>
      </c>
      <c r="R13" s="582">
        <f t="shared" ref="R13:R18" si="0">INT(F13/2-5)</f>
        <v>0</v>
      </c>
      <c r="S13" s="582"/>
      <c r="T13" s="615">
        <f t="shared" ref="T13:T18" si="1">INT(F13/2-5)+IF(B13="O",$S$3,0)+W13</f>
        <v>0</v>
      </c>
      <c r="U13" s="615"/>
      <c r="V13" s="50" t="s">
        <v>40</v>
      </c>
      <c r="W13" s="587"/>
      <c r="X13" s="587"/>
      <c r="Y13" s="6"/>
      <c r="Z13" s="6"/>
      <c r="AA13" s="679"/>
      <c r="AB13" s="680"/>
      <c r="AC13" s="680"/>
      <c r="AD13" s="680"/>
      <c r="AE13" s="680"/>
      <c r="AF13" s="680"/>
      <c r="AG13" s="680"/>
      <c r="AH13" s="680"/>
      <c r="AI13" s="680"/>
      <c r="AJ13" s="680"/>
      <c r="AK13" s="680"/>
      <c r="AL13" s="680"/>
      <c r="AM13" s="680"/>
      <c r="AN13" s="680"/>
      <c r="AO13" s="680"/>
      <c r="AP13" s="680"/>
      <c r="AQ13" s="680"/>
      <c r="AR13" s="680"/>
      <c r="AS13" s="680"/>
      <c r="AT13" s="681"/>
      <c r="AW13" s="373"/>
      <c r="AX13" s="516"/>
      <c r="AY13" s="516"/>
      <c r="AZ13" s="516"/>
      <c r="BA13" s="516"/>
      <c r="BB13" s="516"/>
      <c r="BC13" s="515"/>
      <c r="BD13" s="515"/>
      <c r="BE13" s="515"/>
      <c r="BF13" s="515"/>
      <c r="BG13" s="515"/>
      <c r="BH13" s="515"/>
      <c r="BI13" s="515"/>
      <c r="BJ13" s="515"/>
      <c r="BK13" s="515"/>
      <c r="BL13" s="515"/>
      <c r="BM13" s="515"/>
      <c r="BN13" s="515"/>
      <c r="BO13" s="515"/>
      <c r="BP13" s="515"/>
      <c r="BQ13" s="515"/>
      <c r="BR13" s="515"/>
      <c r="BS13" s="3"/>
      <c r="BT13" s="516"/>
      <c r="BU13" s="516"/>
      <c r="BV13" s="516"/>
      <c r="BW13" s="516"/>
      <c r="BX13" s="516"/>
      <c r="BY13" s="516"/>
      <c r="BZ13" s="515"/>
      <c r="CA13" s="515"/>
      <c r="CB13" s="515"/>
      <c r="CC13" s="515"/>
      <c r="CD13" s="515"/>
      <c r="CE13" s="515"/>
      <c r="CF13" s="515"/>
      <c r="CG13" s="515"/>
      <c r="CH13" s="515"/>
      <c r="CI13" s="515"/>
      <c r="CJ13" s="515"/>
      <c r="CK13" s="515"/>
      <c r="CL13" s="515"/>
      <c r="CM13" s="515"/>
      <c r="CN13" s="515"/>
      <c r="CO13" s="515"/>
    </row>
    <row r="14" spans="1:93" ht="16.649999999999999" customHeight="1">
      <c r="A14" s="67"/>
      <c r="B14" s="442" t="s">
        <v>4020</v>
      </c>
      <c r="C14" s="588" t="s">
        <v>50</v>
      </c>
      <c r="D14" s="588"/>
      <c r="E14" s="588"/>
      <c r="F14" s="600">
        <f t="shared" ref="F14:F18" si="2">I14+K14+M14+O14</f>
        <v>10</v>
      </c>
      <c r="G14" s="600"/>
      <c r="H14" s="50" t="s">
        <v>40</v>
      </c>
      <c r="I14" s="587">
        <v>10</v>
      </c>
      <c r="J14" s="587"/>
      <c r="K14" s="587"/>
      <c r="L14" s="587"/>
      <c r="M14" s="587"/>
      <c r="N14" s="587"/>
      <c r="O14" s="587"/>
      <c r="P14" s="587"/>
      <c r="Q14" s="50" t="s">
        <v>49</v>
      </c>
      <c r="R14" s="582">
        <f t="shared" si="0"/>
        <v>0</v>
      </c>
      <c r="S14" s="582"/>
      <c r="T14" s="615">
        <f t="shared" si="1"/>
        <v>0</v>
      </c>
      <c r="U14" s="615"/>
      <c r="V14" s="50" t="s">
        <v>40</v>
      </c>
      <c r="W14" s="587"/>
      <c r="X14" s="587"/>
      <c r="Y14" s="6"/>
      <c r="Z14" s="6"/>
      <c r="AA14" s="679"/>
      <c r="AB14" s="680"/>
      <c r="AC14" s="680"/>
      <c r="AD14" s="680"/>
      <c r="AE14" s="680"/>
      <c r="AF14" s="680"/>
      <c r="AG14" s="680"/>
      <c r="AH14" s="680"/>
      <c r="AI14" s="680"/>
      <c r="AJ14" s="680"/>
      <c r="AK14" s="680"/>
      <c r="AL14" s="680"/>
      <c r="AM14" s="680"/>
      <c r="AN14" s="680"/>
      <c r="AO14" s="680"/>
      <c r="AP14" s="680"/>
      <c r="AQ14" s="680"/>
      <c r="AR14" s="680"/>
      <c r="AS14" s="680"/>
      <c r="AT14" s="681"/>
      <c r="AW14" s="374"/>
      <c r="AX14" s="489"/>
      <c r="AY14" s="489"/>
      <c r="AZ14" s="489"/>
      <c r="BA14" s="489"/>
      <c r="BB14" s="489"/>
      <c r="BC14" s="514"/>
      <c r="BD14" s="514"/>
      <c r="BE14" s="514"/>
      <c r="BF14" s="514"/>
      <c r="BG14" s="514"/>
      <c r="BH14" s="514"/>
      <c r="BI14" s="514"/>
      <c r="BJ14" s="514"/>
      <c r="BK14" s="514"/>
      <c r="BL14" s="514"/>
      <c r="BM14" s="514"/>
      <c r="BN14" s="514"/>
      <c r="BO14" s="514"/>
      <c r="BP14" s="514"/>
      <c r="BQ14" s="514"/>
      <c r="BR14" s="514"/>
      <c r="BS14" s="3"/>
      <c r="BT14" s="489"/>
      <c r="BU14" s="489"/>
      <c r="BV14" s="489"/>
      <c r="BW14" s="489"/>
      <c r="BX14" s="489"/>
      <c r="BY14" s="489"/>
      <c r="BZ14" s="514"/>
      <c r="CA14" s="514"/>
      <c r="CB14" s="514"/>
      <c r="CC14" s="514"/>
      <c r="CD14" s="514"/>
      <c r="CE14" s="514"/>
      <c r="CF14" s="514"/>
      <c r="CG14" s="514"/>
      <c r="CH14" s="514"/>
      <c r="CI14" s="514"/>
      <c r="CJ14" s="514"/>
      <c r="CK14" s="514"/>
      <c r="CL14" s="514"/>
      <c r="CM14" s="514"/>
      <c r="CN14" s="514"/>
      <c r="CO14" s="514"/>
    </row>
    <row r="15" spans="1:93" ht="16.649999999999999" customHeight="1">
      <c r="A15" s="67"/>
      <c r="B15" s="442" t="s">
        <v>4020</v>
      </c>
      <c r="C15" s="588" t="s">
        <v>51</v>
      </c>
      <c r="D15" s="588"/>
      <c r="E15" s="588"/>
      <c r="F15" s="600">
        <f t="shared" si="2"/>
        <v>10</v>
      </c>
      <c r="G15" s="600"/>
      <c r="H15" s="50" t="s">
        <v>40</v>
      </c>
      <c r="I15" s="587">
        <v>10</v>
      </c>
      <c r="J15" s="587"/>
      <c r="K15" s="587"/>
      <c r="L15" s="587"/>
      <c r="M15" s="587"/>
      <c r="N15" s="587"/>
      <c r="O15" s="587"/>
      <c r="P15" s="587"/>
      <c r="Q15" s="50" t="s">
        <v>49</v>
      </c>
      <c r="R15" s="582">
        <f t="shared" si="0"/>
        <v>0</v>
      </c>
      <c r="S15" s="582"/>
      <c r="T15" s="615">
        <f t="shared" si="1"/>
        <v>0</v>
      </c>
      <c r="U15" s="615"/>
      <c r="V15" s="50" t="s">
        <v>40</v>
      </c>
      <c r="W15" s="587"/>
      <c r="X15" s="587"/>
      <c r="Y15" s="6"/>
      <c r="Z15" s="6"/>
      <c r="AA15" s="679"/>
      <c r="AB15" s="680"/>
      <c r="AC15" s="680"/>
      <c r="AD15" s="680"/>
      <c r="AE15" s="680"/>
      <c r="AF15" s="680"/>
      <c r="AG15" s="680"/>
      <c r="AH15" s="680"/>
      <c r="AI15" s="680"/>
      <c r="AJ15" s="680"/>
      <c r="AK15" s="680"/>
      <c r="AL15" s="680"/>
      <c r="AM15" s="680"/>
      <c r="AN15" s="680"/>
      <c r="AO15" s="680"/>
      <c r="AP15" s="680"/>
      <c r="AQ15" s="680"/>
      <c r="AR15" s="680"/>
      <c r="AS15" s="680"/>
      <c r="AT15" s="681"/>
      <c r="AW15" s="373"/>
      <c r="AX15" s="516"/>
      <c r="AY15" s="516"/>
      <c r="AZ15" s="516"/>
      <c r="BA15" s="516"/>
      <c r="BB15" s="516"/>
      <c r="BC15" s="515"/>
      <c r="BD15" s="515"/>
      <c r="BE15" s="515"/>
      <c r="BF15" s="515"/>
      <c r="BG15" s="515"/>
      <c r="BH15" s="515"/>
      <c r="BI15" s="515"/>
      <c r="BJ15" s="515"/>
      <c r="BK15" s="515"/>
      <c r="BL15" s="515"/>
      <c r="BM15" s="515"/>
      <c r="BN15" s="515"/>
      <c r="BO15" s="515"/>
      <c r="BP15" s="515"/>
      <c r="BQ15" s="515"/>
      <c r="BR15" s="515"/>
      <c r="BS15" s="3"/>
      <c r="BT15" s="516"/>
      <c r="BU15" s="516"/>
      <c r="BV15" s="516"/>
      <c r="BW15" s="516"/>
      <c r="BX15" s="516"/>
      <c r="BY15" s="516"/>
      <c r="BZ15" s="515"/>
      <c r="CA15" s="515"/>
      <c r="CB15" s="515"/>
      <c r="CC15" s="515"/>
      <c r="CD15" s="515"/>
      <c r="CE15" s="515"/>
      <c r="CF15" s="515"/>
      <c r="CG15" s="515"/>
      <c r="CH15" s="515"/>
      <c r="CI15" s="515"/>
      <c r="CJ15" s="515"/>
      <c r="CK15" s="515"/>
      <c r="CL15" s="515"/>
      <c r="CM15" s="515"/>
      <c r="CN15" s="515"/>
      <c r="CO15" s="515"/>
    </row>
    <row r="16" spans="1:93" ht="16.649999999999999" customHeight="1">
      <c r="A16" s="67"/>
      <c r="B16" s="442" t="s">
        <v>4020</v>
      </c>
      <c r="C16" s="588" t="s">
        <v>52</v>
      </c>
      <c r="D16" s="588"/>
      <c r="E16" s="588"/>
      <c r="F16" s="600">
        <f t="shared" si="2"/>
        <v>10</v>
      </c>
      <c r="G16" s="600"/>
      <c r="H16" s="50" t="s">
        <v>40</v>
      </c>
      <c r="I16" s="587">
        <v>10</v>
      </c>
      <c r="J16" s="587"/>
      <c r="K16" s="587"/>
      <c r="L16" s="587"/>
      <c r="M16" s="587"/>
      <c r="N16" s="587"/>
      <c r="O16" s="587"/>
      <c r="P16" s="587"/>
      <c r="Q16" s="50" t="s">
        <v>49</v>
      </c>
      <c r="R16" s="582">
        <f t="shared" si="0"/>
        <v>0</v>
      </c>
      <c r="S16" s="582"/>
      <c r="T16" s="615">
        <f t="shared" si="1"/>
        <v>0</v>
      </c>
      <c r="U16" s="615"/>
      <c r="V16" s="50" t="s">
        <v>40</v>
      </c>
      <c r="W16" s="587"/>
      <c r="X16" s="587"/>
      <c r="Y16" s="6"/>
      <c r="Z16" s="6"/>
      <c r="AA16" s="679"/>
      <c r="AB16" s="680"/>
      <c r="AC16" s="680"/>
      <c r="AD16" s="680"/>
      <c r="AE16" s="680"/>
      <c r="AF16" s="680"/>
      <c r="AG16" s="680"/>
      <c r="AH16" s="680"/>
      <c r="AI16" s="680"/>
      <c r="AJ16" s="680"/>
      <c r="AK16" s="680"/>
      <c r="AL16" s="680"/>
      <c r="AM16" s="680"/>
      <c r="AN16" s="680"/>
      <c r="AO16" s="680"/>
      <c r="AP16" s="680"/>
      <c r="AQ16" s="680"/>
      <c r="AR16" s="680"/>
      <c r="AS16" s="680"/>
      <c r="AT16" s="681"/>
      <c r="AW16" s="374"/>
      <c r="AX16" s="489"/>
      <c r="AY16" s="489"/>
      <c r="AZ16" s="489"/>
      <c r="BA16" s="489"/>
      <c r="BB16" s="489"/>
      <c r="BC16" s="514"/>
      <c r="BD16" s="514"/>
      <c r="BE16" s="514"/>
      <c r="BF16" s="514"/>
      <c r="BG16" s="514"/>
      <c r="BH16" s="514"/>
      <c r="BI16" s="514"/>
      <c r="BJ16" s="514"/>
      <c r="BK16" s="514"/>
      <c r="BL16" s="514"/>
      <c r="BM16" s="514"/>
      <c r="BN16" s="514"/>
      <c r="BO16" s="514"/>
      <c r="BP16" s="514"/>
      <c r="BQ16" s="514"/>
      <c r="BR16" s="514"/>
      <c r="BS16" s="3"/>
    </row>
    <row r="17" spans="1:93" ht="16.649999999999999" customHeight="1">
      <c r="A17" s="67"/>
      <c r="B17" s="442" t="s">
        <v>4020</v>
      </c>
      <c r="C17" s="588" t="s">
        <v>53</v>
      </c>
      <c r="D17" s="588"/>
      <c r="E17" s="588"/>
      <c r="F17" s="600">
        <f t="shared" si="2"/>
        <v>10</v>
      </c>
      <c r="G17" s="600"/>
      <c r="H17" s="50" t="s">
        <v>40</v>
      </c>
      <c r="I17" s="587">
        <v>10</v>
      </c>
      <c r="J17" s="587"/>
      <c r="K17" s="587"/>
      <c r="L17" s="587"/>
      <c r="M17" s="587"/>
      <c r="N17" s="587"/>
      <c r="O17" s="587"/>
      <c r="P17" s="587"/>
      <c r="Q17" s="50" t="s">
        <v>49</v>
      </c>
      <c r="R17" s="582">
        <f t="shared" si="0"/>
        <v>0</v>
      </c>
      <c r="S17" s="582"/>
      <c r="T17" s="615">
        <f t="shared" si="1"/>
        <v>0</v>
      </c>
      <c r="U17" s="615"/>
      <c r="V17" s="50" t="s">
        <v>40</v>
      </c>
      <c r="W17" s="587"/>
      <c r="X17" s="587"/>
      <c r="Y17" s="6"/>
      <c r="Z17" s="6"/>
      <c r="AA17" s="679"/>
      <c r="AB17" s="680"/>
      <c r="AC17" s="680"/>
      <c r="AD17" s="680"/>
      <c r="AE17" s="680"/>
      <c r="AF17" s="680"/>
      <c r="AG17" s="680"/>
      <c r="AH17" s="680"/>
      <c r="AI17" s="680"/>
      <c r="AJ17" s="680"/>
      <c r="AK17" s="680"/>
      <c r="AL17" s="680"/>
      <c r="AM17" s="680"/>
      <c r="AN17" s="680"/>
      <c r="AO17" s="680"/>
      <c r="AP17" s="680"/>
      <c r="AQ17" s="680"/>
      <c r="AR17" s="680"/>
      <c r="AS17" s="680"/>
      <c r="AT17" s="681"/>
      <c r="AW17" s="373"/>
      <c r="AX17" s="516"/>
      <c r="AY17" s="516"/>
      <c r="AZ17" s="516"/>
      <c r="BA17" s="516"/>
      <c r="BB17" s="516"/>
      <c r="BC17" s="515"/>
      <c r="BD17" s="515"/>
      <c r="BE17" s="515"/>
      <c r="BF17" s="515"/>
      <c r="BG17" s="515"/>
      <c r="BH17" s="515"/>
      <c r="BI17" s="515"/>
      <c r="BJ17" s="515"/>
      <c r="BK17" s="515"/>
      <c r="BL17" s="515"/>
      <c r="BM17" s="515"/>
      <c r="BN17" s="515"/>
      <c r="BO17" s="515"/>
      <c r="BP17" s="515"/>
      <c r="BQ17" s="515"/>
      <c r="BR17" s="515"/>
      <c r="BS17" s="3"/>
      <c r="BT17" s="533" t="s">
        <v>133</v>
      </c>
      <c r="BU17" s="533"/>
      <c r="BV17" s="533"/>
      <c r="BW17" s="533"/>
      <c r="BX17" s="533"/>
      <c r="BY17" s="533"/>
      <c r="BZ17" s="533"/>
      <c r="CA17" s="533"/>
      <c r="CB17" s="533"/>
      <c r="CC17" s="533"/>
      <c r="CD17" s="533"/>
      <c r="CE17" s="533"/>
      <c r="CF17" s="533"/>
      <c r="CG17" s="533"/>
      <c r="CH17" s="533"/>
      <c r="CI17" s="533"/>
      <c r="CJ17" s="533"/>
      <c r="CK17" s="533"/>
      <c r="CL17" s="533"/>
      <c r="CM17" s="533"/>
      <c r="CN17" s="533"/>
      <c r="CO17" s="533"/>
    </row>
    <row r="18" spans="1:93" ht="16.649999999999999" customHeight="1">
      <c r="A18" s="67"/>
      <c r="B18" s="442" t="s">
        <v>4020</v>
      </c>
      <c r="C18" s="588" t="s">
        <v>54</v>
      </c>
      <c r="D18" s="588"/>
      <c r="E18" s="588"/>
      <c r="F18" s="600">
        <f t="shared" si="2"/>
        <v>10</v>
      </c>
      <c r="G18" s="600"/>
      <c r="H18" s="50" t="s">
        <v>40</v>
      </c>
      <c r="I18" s="587">
        <v>10</v>
      </c>
      <c r="J18" s="587"/>
      <c r="K18" s="587"/>
      <c r="L18" s="587"/>
      <c r="M18" s="587"/>
      <c r="N18" s="587"/>
      <c r="O18" s="587"/>
      <c r="P18" s="587"/>
      <c r="Q18" s="50" t="s">
        <v>49</v>
      </c>
      <c r="R18" s="582">
        <f t="shared" si="0"/>
        <v>0</v>
      </c>
      <c r="S18" s="582"/>
      <c r="T18" s="615">
        <f t="shared" si="1"/>
        <v>0</v>
      </c>
      <c r="U18" s="615"/>
      <c r="V18" s="50" t="s">
        <v>40</v>
      </c>
      <c r="W18" s="587"/>
      <c r="X18" s="587"/>
      <c r="Y18" s="6"/>
      <c r="Z18" s="6"/>
      <c r="AA18" s="679"/>
      <c r="AB18" s="680"/>
      <c r="AC18" s="680"/>
      <c r="AD18" s="680"/>
      <c r="AE18" s="680"/>
      <c r="AF18" s="680"/>
      <c r="AG18" s="680"/>
      <c r="AH18" s="680"/>
      <c r="AI18" s="680"/>
      <c r="AJ18" s="680"/>
      <c r="AK18" s="680"/>
      <c r="AL18" s="680"/>
      <c r="AM18" s="680"/>
      <c r="AN18" s="680"/>
      <c r="AO18" s="680"/>
      <c r="AP18" s="680"/>
      <c r="AQ18" s="680"/>
      <c r="AR18" s="680"/>
      <c r="AS18" s="680"/>
      <c r="AT18" s="681"/>
      <c r="AW18" s="374"/>
      <c r="AX18" s="489"/>
      <c r="AY18" s="489"/>
      <c r="AZ18" s="489"/>
      <c r="BA18" s="489"/>
      <c r="BB18" s="489"/>
      <c r="BC18" s="514"/>
      <c r="BD18" s="514"/>
      <c r="BE18" s="514"/>
      <c r="BF18" s="514"/>
      <c r="BG18" s="514"/>
      <c r="BH18" s="514"/>
      <c r="BI18" s="514"/>
      <c r="BJ18" s="514"/>
      <c r="BK18" s="514"/>
      <c r="BL18" s="514"/>
      <c r="BM18" s="514"/>
      <c r="BN18" s="514"/>
      <c r="BO18" s="514"/>
      <c r="BP18" s="514"/>
      <c r="BQ18" s="514"/>
      <c r="BR18" s="514"/>
      <c r="BS18" s="3"/>
      <c r="BT18" s="432" t="s">
        <v>10</v>
      </c>
      <c r="BU18" s="481" t="s">
        <v>76</v>
      </c>
      <c r="BV18" s="481"/>
      <c r="BW18" s="481"/>
      <c r="BX18" s="481"/>
      <c r="BY18" s="481"/>
      <c r="BZ18" s="481" t="s">
        <v>132</v>
      </c>
      <c r="CA18" s="481"/>
      <c r="CB18" s="481"/>
      <c r="CC18" s="481"/>
      <c r="CD18" s="481"/>
      <c r="CE18" s="481"/>
      <c r="CF18" s="481"/>
      <c r="CG18" s="481"/>
      <c r="CH18" s="481"/>
      <c r="CI18" s="481"/>
      <c r="CJ18" s="481"/>
      <c r="CK18" s="481"/>
      <c r="CL18" s="481"/>
      <c r="CM18" s="481"/>
      <c r="CN18" s="481"/>
      <c r="CO18" s="481"/>
    </row>
    <row r="19" spans="1:93" ht="16.649999999999999" customHeight="1">
      <c r="AA19" s="679"/>
      <c r="AB19" s="680"/>
      <c r="AC19" s="680"/>
      <c r="AD19" s="680"/>
      <c r="AE19" s="680"/>
      <c r="AF19" s="680"/>
      <c r="AG19" s="680"/>
      <c r="AH19" s="680"/>
      <c r="AI19" s="680"/>
      <c r="AJ19" s="680"/>
      <c r="AK19" s="680"/>
      <c r="AL19" s="680"/>
      <c r="AM19" s="680"/>
      <c r="AN19" s="680"/>
      <c r="AO19" s="680"/>
      <c r="AP19" s="680"/>
      <c r="AQ19" s="680"/>
      <c r="AR19" s="680"/>
      <c r="AS19" s="680"/>
      <c r="AT19" s="681"/>
      <c r="AW19" s="373"/>
      <c r="AX19" s="516"/>
      <c r="AY19" s="516"/>
      <c r="AZ19" s="516"/>
      <c r="BA19" s="516"/>
      <c r="BB19" s="516"/>
      <c r="BC19" s="515"/>
      <c r="BD19" s="515"/>
      <c r="BE19" s="515"/>
      <c r="BF19" s="515"/>
      <c r="BG19" s="515"/>
      <c r="BH19" s="515"/>
      <c r="BI19" s="515"/>
      <c r="BJ19" s="515"/>
      <c r="BK19" s="515"/>
      <c r="BL19" s="515"/>
      <c r="BM19" s="515"/>
      <c r="BN19" s="515"/>
      <c r="BO19" s="515"/>
      <c r="BP19" s="515"/>
      <c r="BQ19" s="515"/>
      <c r="BR19" s="515"/>
      <c r="BS19" s="3"/>
      <c r="BT19" s="375">
        <v>4</v>
      </c>
      <c r="BU19" s="516"/>
      <c r="BV19" s="516"/>
      <c r="BW19" s="516"/>
      <c r="BX19" s="516"/>
      <c r="BY19" s="516"/>
      <c r="BZ19" s="515"/>
      <c r="CA19" s="515"/>
      <c r="CB19" s="515"/>
      <c r="CC19" s="515"/>
      <c r="CD19" s="515"/>
      <c r="CE19" s="515"/>
      <c r="CF19" s="515"/>
      <c r="CG19" s="515"/>
      <c r="CH19" s="515"/>
      <c r="CI19" s="515"/>
      <c r="CJ19" s="515"/>
      <c r="CK19" s="515"/>
      <c r="CL19" s="515"/>
      <c r="CM19" s="515"/>
      <c r="CN19" s="515"/>
      <c r="CO19" s="515"/>
    </row>
    <row r="20" spans="1:93" ht="16.649999999999999" customHeight="1">
      <c r="B20" s="533" t="s">
        <v>55</v>
      </c>
      <c r="C20" s="533"/>
      <c r="D20" s="533"/>
      <c r="E20" s="533"/>
      <c r="F20" s="533"/>
      <c r="G20" s="533"/>
      <c r="H20" s="533"/>
      <c r="I20" s="533"/>
      <c r="J20" s="533"/>
      <c r="K20" s="533"/>
      <c r="L20" s="533"/>
      <c r="M20" s="533"/>
      <c r="N20" s="533"/>
      <c r="O20" s="533"/>
      <c r="P20" s="533"/>
      <c r="Q20" s="533"/>
      <c r="R20" s="576" t="s">
        <v>6499</v>
      </c>
      <c r="S20" s="576"/>
      <c r="T20" s="576"/>
      <c r="U20" s="576"/>
      <c r="V20" s="576"/>
      <c r="W20" s="576"/>
      <c r="X20" s="616" t="s">
        <v>5276</v>
      </c>
      <c r="Y20" s="616"/>
      <c r="AA20" s="682"/>
      <c r="AB20" s="683"/>
      <c r="AC20" s="683"/>
      <c r="AD20" s="683"/>
      <c r="AE20" s="683"/>
      <c r="AF20" s="683"/>
      <c r="AG20" s="683"/>
      <c r="AH20" s="683"/>
      <c r="AI20" s="683"/>
      <c r="AJ20" s="683"/>
      <c r="AK20" s="683"/>
      <c r="AL20" s="683"/>
      <c r="AM20" s="683"/>
      <c r="AN20" s="683"/>
      <c r="AO20" s="683"/>
      <c r="AP20" s="683"/>
      <c r="AQ20" s="683"/>
      <c r="AR20" s="683"/>
      <c r="AS20" s="683"/>
      <c r="AT20" s="684"/>
      <c r="AW20" s="374"/>
      <c r="AX20" s="489"/>
      <c r="AY20" s="489"/>
      <c r="AZ20" s="489"/>
      <c r="BA20" s="489"/>
      <c r="BB20" s="489"/>
      <c r="BC20" s="514"/>
      <c r="BD20" s="514"/>
      <c r="BE20" s="514"/>
      <c r="BF20" s="514"/>
      <c r="BG20" s="514"/>
      <c r="BH20" s="514"/>
      <c r="BI20" s="514"/>
      <c r="BJ20" s="514"/>
      <c r="BK20" s="514"/>
      <c r="BL20" s="514"/>
      <c r="BM20" s="514"/>
      <c r="BN20" s="514"/>
      <c r="BO20" s="514"/>
      <c r="BP20" s="514"/>
      <c r="BQ20" s="514"/>
      <c r="BR20" s="514"/>
      <c r="BS20" s="3"/>
      <c r="BT20" s="376">
        <v>8</v>
      </c>
      <c r="BU20" s="489"/>
      <c r="BV20" s="489"/>
      <c r="BW20" s="489"/>
      <c r="BX20" s="489"/>
      <c r="BY20" s="489"/>
      <c r="BZ20" s="514"/>
      <c r="CA20" s="514"/>
      <c r="CB20" s="514"/>
      <c r="CC20" s="514"/>
      <c r="CD20" s="514"/>
      <c r="CE20" s="514"/>
      <c r="CF20" s="514"/>
      <c r="CG20" s="514"/>
      <c r="CH20" s="514"/>
      <c r="CI20" s="514"/>
      <c r="CJ20" s="514"/>
      <c r="CK20" s="514"/>
      <c r="CL20" s="514"/>
      <c r="CM20" s="514"/>
      <c r="CN20" s="514"/>
      <c r="CO20" s="514"/>
    </row>
    <row r="21" spans="1:93" ht="16.649999999999999" customHeight="1">
      <c r="G21" s="481" t="s">
        <v>5281</v>
      </c>
      <c r="H21" s="481"/>
      <c r="S21" s="481" t="s">
        <v>56</v>
      </c>
      <c r="T21" s="481"/>
      <c r="U21" s="434"/>
      <c r="V21" s="481" t="s">
        <v>57</v>
      </c>
      <c r="W21" s="481"/>
      <c r="AA21" s="528" t="s">
        <v>63</v>
      </c>
      <c r="AB21" s="528"/>
      <c r="AC21" s="528"/>
      <c r="AD21" s="528"/>
      <c r="AE21" s="528"/>
      <c r="AF21" s="528"/>
      <c r="AG21" s="528"/>
      <c r="AH21" s="528"/>
      <c r="AI21" s="528"/>
      <c r="AJ21" s="528"/>
      <c r="AK21" s="528"/>
      <c r="AL21" s="528"/>
      <c r="AM21" s="528"/>
      <c r="AN21" s="528"/>
      <c r="AO21" s="528"/>
      <c r="AP21" s="528"/>
      <c r="AQ21" s="528"/>
      <c r="AR21" s="528"/>
      <c r="AS21" s="528"/>
      <c r="AT21" s="528"/>
      <c r="AW21" s="373"/>
      <c r="AX21" s="516"/>
      <c r="AY21" s="516"/>
      <c r="AZ21" s="516"/>
      <c r="BA21" s="516"/>
      <c r="BB21" s="516"/>
      <c r="BC21" s="515"/>
      <c r="BD21" s="515"/>
      <c r="BE21" s="515"/>
      <c r="BF21" s="515"/>
      <c r="BG21" s="515"/>
      <c r="BH21" s="515"/>
      <c r="BI21" s="515"/>
      <c r="BJ21" s="515"/>
      <c r="BK21" s="515"/>
      <c r="BL21" s="515"/>
      <c r="BM21" s="515"/>
      <c r="BN21" s="515"/>
      <c r="BO21" s="515"/>
      <c r="BP21" s="515"/>
      <c r="BQ21" s="515"/>
      <c r="BR21" s="515"/>
      <c r="BS21" s="3"/>
      <c r="BT21" s="375">
        <v>12</v>
      </c>
      <c r="BU21" s="516"/>
      <c r="BV21" s="516"/>
      <c r="BW21" s="516"/>
      <c r="BX21" s="516"/>
      <c r="BY21" s="516"/>
      <c r="BZ21" s="515"/>
      <c r="CA21" s="515"/>
      <c r="CB21" s="515"/>
      <c r="CC21" s="515"/>
      <c r="CD21" s="515"/>
      <c r="CE21" s="515"/>
      <c r="CF21" s="515"/>
      <c r="CG21" s="515"/>
      <c r="CH21" s="515"/>
      <c r="CI21" s="515"/>
      <c r="CJ21" s="515"/>
      <c r="CK21" s="515"/>
      <c r="CL21" s="515"/>
      <c r="CM21" s="515"/>
      <c r="CN21" s="515"/>
      <c r="CO21" s="515"/>
    </row>
    <row r="22" spans="1:93" ht="16.649999999999999" customHeight="1">
      <c r="B22" s="597" t="s">
        <v>58</v>
      </c>
      <c r="C22" s="597"/>
      <c r="D22" s="582">
        <f>SUM(R14+G22)</f>
        <v>0</v>
      </c>
      <c r="E22" s="582"/>
      <c r="F22" s="50" t="s">
        <v>40</v>
      </c>
      <c r="G22" s="580"/>
      <c r="H22" s="580"/>
      <c r="P22" s="617" t="s">
        <v>59</v>
      </c>
      <c r="Q22" s="617"/>
      <c r="R22" s="589">
        <f>V22</f>
        <v>0</v>
      </c>
      <c r="S22" s="589"/>
      <c r="T22" s="590"/>
      <c r="U22" s="382" t="s">
        <v>60</v>
      </c>
      <c r="V22" s="618">
        <f>BF7</f>
        <v>0</v>
      </c>
      <c r="W22" s="619"/>
      <c r="X22" s="619"/>
      <c r="AA22" s="607" t="s">
        <v>65</v>
      </c>
      <c r="AB22" s="607"/>
      <c r="AC22" s="607"/>
      <c r="AD22" s="607"/>
      <c r="AE22" s="638"/>
      <c r="AF22" s="639"/>
      <c r="AG22" s="639"/>
      <c r="AH22" s="639"/>
      <c r="AI22" s="639"/>
      <c r="AJ22" s="639"/>
      <c r="AK22" s="639"/>
      <c r="AL22" s="639"/>
      <c r="AM22" s="639"/>
      <c r="AN22" s="640"/>
      <c r="AO22" s="641" t="s">
        <v>6647</v>
      </c>
      <c r="AP22" s="641"/>
      <c r="AQ22" s="641"/>
      <c r="AR22" s="496"/>
      <c r="AS22" s="496"/>
      <c r="AT22" s="496"/>
      <c r="AW22" s="374"/>
      <c r="AX22" s="489"/>
      <c r="AY22" s="489"/>
      <c r="AZ22" s="489"/>
      <c r="BA22" s="489"/>
      <c r="BB22" s="489"/>
      <c r="BC22" s="514"/>
      <c r="BD22" s="514"/>
      <c r="BE22" s="514"/>
      <c r="BF22" s="514"/>
      <c r="BG22" s="514"/>
      <c r="BH22" s="514"/>
      <c r="BI22" s="514"/>
      <c r="BJ22" s="514"/>
      <c r="BK22" s="514"/>
      <c r="BL22" s="514"/>
      <c r="BM22" s="514"/>
      <c r="BN22" s="514"/>
      <c r="BO22" s="514"/>
      <c r="BP22" s="514"/>
      <c r="BQ22" s="514"/>
      <c r="BR22" s="514"/>
      <c r="BS22" s="3"/>
      <c r="BT22" s="376">
        <v>16</v>
      </c>
      <c r="BU22" s="489"/>
      <c r="BV22" s="489"/>
      <c r="BW22" s="489"/>
      <c r="BX22" s="489"/>
      <c r="BY22" s="489"/>
      <c r="BZ22" s="514"/>
      <c r="CA22" s="514"/>
      <c r="CB22" s="514"/>
      <c r="CC22" s="514"/>
      <c r="CD22" s="514"/>
      <c r="CE22" s="514"/>
      <c r="CF22" s="514"/>
      <c r="CG22" s="514"/>
      <c r="CH22" s="514"/>
      <c r="CI22" s="514"/>
      <c r="CJ22" s="514"/>
      <c r="CK22" s="514"/>
      <c r="CL22" s="514"/>
      <c r="CM22" s="514"/>
      <c r="CN22" s="514"/>
      <c r="CO22" s="514"/>
    </row>
    <row r="23" spans="1:93" ht="16.649999999999999" customHeight="1">
      <c r="B23" s="593" t="s">
        <v>61</v>
      </c>
      <c r="C23" s="593"/>
      <c r="D23" s="582">
        <f>SUM(AF40,AI40,G23,+IF(AS40="是",AQ40,0))</f>
        <v>10</v>
      </c>
      <c r="E23" s="582"/>
      <c r="F23" s="50" t="s">
        <v>40</v>
      </c>
      <c r="G23" s="580"/>
      <c r="H23" s="580"/>
      <c r="J23" s="607" t="s">
        <v>6649</v>
      </c>
      <c r="K23" s="607"/>
      <c r="L23" s="608">
        <f>SUM(10+I53)</f>
        <v>10</v>
      </c>
      <c r="M23" s="608"/>
      <c r="N23" s="608"/>
      <c r="P23" s="593" t="s">
        <v>62</v>
      </c>
      <c r="Q23" s="594"/>
      <c r="R23" s="591">
        <f>U23</f>
        <v>1</v>
      </c>
      <c r="S23" s="592"/>
      <c r="T23" s="382" t="s">
        <v>60</v>
      </c>
      <c r="U23" s="721">
        <f>O6+O7+O8</f>
        <v>1</v>
      </c>
      <c r="V23" s="722"/>
      <c r="W23" s="580" t="str">
        <f>IF(E7="",IF(E8="",IFERROR(VLOOKUP(E6,职业!AC2:AD14,2,0),""),""),"")</f>
        <v/>
      </c>
      <c r="X23" s="580"/>
      <c r="AA23" s="494" t="s">
        <v>66</v>
      </c>
      <c r="AB23" s="494"/>
      <c r="AC23" s="494"/>
      <c r="AD23" s="494"/>
      <c r="AE23" s="470"/>
      <c r="AF23" s="471"/>
      <c r="AG23" s="471"/>
      <c r="AH23" s="471"/>
      <c r="AI23" s="471"/>
      <c r="AJ23" s="471"/>
      <c r="AK23" s="471"/>
      <c r="AL23" s="471"/>
      <c r="AM23" s="471"/>
      <c r="AN23" s="642"/>
      <c r="AO23" s="494" t="s">
        <v>6522</v>
      </c>
      <c r="AP23" s="494"/>
      <c r="AQ23" s="494"/>
      <c r="AR23" s="611" t="s">
        <v>182</v>
      </c>
      <c r="AS23" s="611"/>
      <c r="AT23" s="611"/>
      <c r="AW23" s="373"/>
      <c r="AX23" s="516"/>
      <c r="AY23" s="516"/>
      <c r="AZ23" s="516"/>
      <c r="BA23" s="516"/>
      <c r="BB23" s="516"/>
      <c r="BC23" s="515"/>
      <c r="BD23" s="515"/>
      <c r="BE23" s="515"/>
      <c r="BF23" s="515"/>
      <c r="BG23" s="515"/>
      <c r="BH23" s="515"/>
      <c r="BI23" s="515"/>
      <c r="BJ23" s="515"/>
      <c r="BK23" s="515"/>
      <c r="BL23" s="515"/>
      <c r="BM23" s="515"/>
      <c r="BN23" s="515"/>
      <c r="BO23" s="515"/>
      <c r="BP23" s="515"/>
      <c r="BQ23" s="515"/>
      <c r="BR23" s="515"/>
      <c r="BS23" s="3"/>
      <c r="BT23" s="375">
        <v>19</v>
      </c>
      <c r="BU23" s="516"/>
      <c r="BV23" s="516"/>
      <c r="BW23" s="516"/>
      <c r="BX23" s="516"/>
      <c r="BY23" s="516"/>
      <c r="BZ23" s="515"/>
      <c r="CA23" s="515"/>
      <c r="CB23" s="515"/>
      <c r="CC23" s="515"/>
      <c r="CD23" s="515"/>
      <c r="CE23" s="515"/>
      <c r="CF23" s="515"/>
      <c r="CG23" s="515"/>
      <c r="CH23" s="515"/>
      <c r="CI23" s="515"/>
      <c r="CJ23" s="515"/>
      <c r="CK23" s="515"/>
      <c r="CL23" s="515"/>
      <c r="CM23" s="515"/>
      <c r="CN23" s="515"/>
      <c r="CO23" s="515"/>
    </row>
    <row r="24" spans="1:93" ht="16.649999999999999" customHeight="1">
      <c r="B24" s="581" t="s">
        <v>64</v>
      </c>
      <c r="C24" s="581"/>
      <c r="D24" s="582">
        <f>SUM(8+S3+G24+IF(L24="力量",R13,IF(L24="敏捷",R14,IF(L24="体质",R15,IF(L24="智力",R16,IF(L24="感知",R17,IF(L24="魅力",R18,0)))))))</f>
        <v>10</v>
      </c>
      <c r="E24" s="582"/>
      <c r="F24" s="50" t="s">
        <v>40</v>
      </c>
      <c r="G24" s="580"/>
      <c r="H24" s="580"/>
      <c r="I24" s="459" t="s">
        <v>40</v>
      </c>
      <c r="J24" s="495" t="s">
        <v>5924</v>
      </c>
      <c r="K24" s="495"/>
      <c r="L24" s="583" t="s">
        <v>54</v>
      </c>
      <c r="M24" s="583"/>
      <c r="N24" s="583"/>
      <c r="P24" s="584" t="s">
        <v>6648</v>
      </c>
      <c r="Q24" s="585"/>
      <c r="R24" s="585"/>
      <c r="S24" s="586"/>
      <c r="T24" s="665"/>
      <c r="U24" s="666"/>
      <c r="V24" s="666"/>
      <c r="W24" s="666"/>
      <c r="X24" s="667"/>
      <c r="AA24" s="495" t="s">
        <v>69</v>
      </c>
      <c r="AB24" s="495"/>
      <c r="AC24" s="495"/>
      <c r="AD24" s="495"/>
      <c r="AE24" s="474"/>
      <c r="AF24" s="475"/>
      <c r="AG24" s="475"/>
      <c r="AH24" s="475"/>
      <c r="AI24" s="475"/>
      <c r="AJ24" s="475"/>
      <c r="AK24" s="475"/>
      <c r="AL24" s="475"/>
      <c r="AM24" s="475"/>
      <c r="AN24" s="575"/>
      <c r="AO24" s="495" t="s">
        <v>68</v>
      </c>
      <c r="AP24" s="495"/>
      <c r="AQ24" s="495"/>
      <c r="AR24" s="496">
        <v>30</v>
      </c>
      <c r="AS24" s="496"/>
      <c r="AT24" s="496"/>
      <c r="AW24" s="374"/>
      <c r="AX24" s="489"/>
      <c r="AY24" s="489"/>
      <c r="AZ24" s="489"/>
      <c r="BA24" s="489"/>
      <c r="BB24" s="489"/>
      <c r="BC24" s="514"/>
      <c r="BD24" s="514"/>
      <c r="BE24" s="514"/>
      <c r="BF24" s="514"/>
      <c r="BG24" s="514"/>
      <c r="BH24" s="514"/>
      <c r="BI24" s="514"/>
      <c r="BJ24" s="514"/>
      <c r="BK24" s="514"/>
      <c r="BL24" s="514"/>
      <c r="BM24" s="514"/>
      <c r="BN24" s="514"/>
      <c r="BO24" s="514"/>
      <c r="BP24" s="514"/>
      <c r="BQ24" s="514"/>
      <c r="BR24" s="514"/>
      <c r="BS24" s="3"/>
      <c r="BT24" s="376">
        <v>6</v>
      </c>
      <c r="BU24" s="489"/>
      <c r="BV24" s="489"/>
      <c r="BW24" s="489"/>
      <c r="BX24" s="489"/>
      <c r="BY24" s="489"/>
      <c r="BZ24" s="514"/>
      <c r="CA24" s="514"/>
      <c r="CB24" s="514"/>
      <c r="CC24" s="514"/>
      <c r="CD24" s="514"/>
      <c r="CE24" s="514"/>
      <c r="CF24" s="514"/>
      <c r="CG24" s="514"/>
      <c r="CH24" s="514"/>
      <c r="CI24" s="514"/>
      <c r="CJ24" s="514"/>
      <c r="CK24" s="514"/>
      <c r="CL24" s="514"/>
      <c r="CM24" s="514"/>
      <c r="CN24" s="514"/>
      <c r="CO24" s="514"/>
    </row>
    <row r="25" spans="1:93" ht="16.649999999999999" customHeight="1">
      <c r="B25" s="480" t="s">
        <v>6650</v>
      </c>
      <c r="C25" s="480"/>
      <c r="D25" s="480"/>
      <c r="E25" s="480"/>
      <c r="F25" s="481" t="s">
        <v>6472</v>
      </c>
      <c r="G25" s="481"/>
      <c r="H25" s="481"/>
      <c r="I25" s="481"/>
      <c r="J25" s="481" t="s">
        <v>56</v>
      </c>
      <c r="K25" s="481"/>
      <c r="M25" s="481" t="s">
        <v>57</v>
      </c>
      <c r="N25" s="481"/>
      <c r="O25" s="480" t="s">
        <v>6651</v>
      </c>
      <c r="P25" s="480"/>
      <c r="Q25" s="480" t="s">
        <v>6650</v>
      </c>
      <c r="R25" s="480"/>
      <c r="S25" s="480"/>
      <c r="T25" s="480"/>
      <c r="U25" s="481" t="s">
        <v>6472</v>
      </c>
      <c r="V25" s="481"/>
      <c r="W25" s="481"/>
      <c r="X25" s="481"/>
      <c r="Y25" s="481" t="s">
        <v>56</v>
      </c>
      <c r="Z25" s="481"/>
      <c r="AB25" s="481" t="s">
        <v>57</v>
      </c>
      <c r="AC25" s="481"/>
      <c r="AD25" s="480" t="s">
        <v>6651</v>
      </c>
      <c r="AE25" s="480"/>
      <c r="AF25" s="480" t="s">
        <v>6650</v>
      </c>
      <c r="AG25" s="480"/>
      <c r="AH25" s="480"/>
      <c r="AI25" s="480"/>
      <c r="AJ25" s="481" t="s">
        <v>6472</v>
      </c>
      <c r="AK25" s="481"/>
      <c r="AL25" s="481"/>
      <c r="AM25" s="481"/>
      <c r="AN25" s="481" t="s">
        <v>56</v>
      </c>
      <c r="AO25" s="481"/>
      <c r="AQ25" s="481" t="s">
        <v>57</v>
      </c>
      <c r="AR25" s="481"/>
      <c r="AS25" s="480" t="s">
        <v>6651</v>
      </c>
      <c r="AT25" s="480"/>
      <c r="AW25" s="373"/>
      <c r="AX25" s="516"/>
      <c r="AY25" s="516"/>
      <c r="AZ25" s="516"/>
      <c r="BA25" s="516"/>
      <c r="BB25" s="516"/>
      <c r="BC25" s="515"/>
      <c r="BD25" s="515"/>
      <c r="BE25" s="515"/>
      <c r="BF25" s="515"/>
      <c r="BG25" s="515"/>
      <c r="BH25" s="515"/>
      <c r="BI25" s="515"/>
      <c r="BJ25" s="515"/>
      <c r="BK25" s="515"/>
      <c r="BL25" s="515"/>
      <c r="BM25" s="515"/>
      <c r="BN25" s="515"/>
      <c r="BO25" s="515"/>
      <c r="BP25" s="515"/>
      <c r="BQ25" s="515"/>
      <c r="BR25" s="515"/>
      <c r="BS25" s="3"/>
      <c r="BT25" s="375">
        <v>10</v>
      </c>
      <c r="BU25" s="516"/>
      <c r="BV25" s="516"/>
      <c r="BW25" s="516"/>
      <c r="BX25" s="516"/>
      <c r="BY25" s="516"/>
      <c r="BZ25" s="515"/>
      <c r="CA25" s="515"/>
      <c r="CB25" s="515"/>
      <c r="CC25" s="515"/>
      <c r="CD25" s="515"/>
      <c r="CE25" s="515"/>
      <c r="CF25" s="515"/>
      <c r="CG25" s="515"/>
      <c r="CH25" s="515"/>
      <c r="CI25" s="515"/>
      <c r="CJ25" s="515"/>
      <c r="CK25" s="515"/>
      <c r="CL25" s="515"/>
      <c r="CM25" s="515"/>
      <c r="CN25" s="515"/>
      <c r="CO25" s="515"/>
    </row>
    <row r="26" spans="1:93" ht="16.649999999999999" customHeight="1">
      <c r="B26" s="570" t="s">
        <v>2946</v>
      </c>
      <c r="C26" s="571"/>
      <c r="D26" s="571"/>
      <c r="E26" s="572"/>
      <c r="F26" s="474"/>
      <c r="G26" s="475"/>
      <c r="H26" s="475"/>
      <c r="I26" s="475"/>
      <c r="J26" s="477"/>
      <c r="K26" s="482"/>
      <c r="L26" s="428" t="s">
        <v>60</v>
      </c>
      <c r="M26" s="478"/>
      <c r="N26" s="479"/>
      <c r="O26" s="483"/>
      <c r="P26" s="484"/>
      <c r="Q26" s="570" t="s">
        <v>2946</v>
      </c>
      <c r="R26" s="571"/>
      <c r="S26" s="571"/>
      <c r="T26" s="572"/>
      <c r="U26" s="474"/>
      <c r="V26" s="475"/>
      <c r="W26" s="475"/>
      <c r="X26" s="475"/>
      <c r="Y26" s="477"/>
      <c r="Z26" s="482"/>
      <c r="AA26" s="428" t="s">
        <v>60</v>
      </c>
      <c r="AB26" s="478"/>
      <c r="AC26" s="479"/>
      <c r="AD26" s="483"/>
      <c r="AE26" s="484"/>
      <c r="AF26" s="570" t="s">
        <v>2946</v>
      </c>
      <c r="AG26" s="571"/>
      <c r="AH26" s="571"/>
      <c r="AI26" s="572"/>
      <c r="AJ26" s="474"/>
      <c r="AK26" s="475"/>
      <c r="AL26" s="475"/>
      <c r="AM26" s="475"/>
      <c r="AN26" s="477"/>
      <c r="AO26" s="482"/>
      <c r="AP26" s="428" t="s">
        <v>60</v>
      </c>
      <c r="AQ26" s="478"/>
      <c r="AR26" s="479"/>
      <c r="AS26" s="483"/>
      <c r="AT26" s="484"/>
      <c r="AW26" s="374"/>
      <c r="AX26" s="489"/>
      <c r="AY26" s="489"/>
      <c r="AZ26" s="489"/>
      <c r="BA26" s="489"/>
      <c r="BB26" s="489"/>
      <c r="BC26" s="514"/>
      <c r="BD26" s="514"/>
      <c r="BE26" s="514"/>
      <c r="BF26" s="514"/>
      <c r="BG26" s="514"/>
      <c r="BH26" s="514"/>
      <c r="BI26" s="514"/>
      <c r="BJ26" s="514"/>
      <c r="BK26" s="514"/>
      <c r="BL26" s="514"/>
      <c r="BM26" s="514"/>
      <c r="BN26" s="514"/>
      <c r="BO26" s="514"/>
      <c r="BP26" s="514"/>
      <c r="BQ26" s="514"/>
      <c r="BR26" s="514"/>
      <c r="BS26" s="3"/>
      <c r="BT26" s="376"/>
      <c r="BU26" s="489"/>
      <c r="BV26" s="489"/>
      <c r="BW26" s="489"/>
      <c r="BX26" s="489"/>
      <c r="BY26" s="489"/>
      <c r="BZ26" s="514"/>
      <c r="CA26" s="514"/>
      <c r="CB26" s="514"/>
      <c r="CC26" s="514"/>
      <c r="CD26" s="514"/>
      <c r="CE26" s="514"/>
      <c r="CF26" s="514"/>
      <c r="CG26" s="514"/>
      <c r="CH26" s="514"/>
      <c r="CI26" s="514"/>
      <c r="CJ26" s="514"/>
      <c r="CK26" s="514"/>
      <c r="CL26" s="514"/>
      <c r="CM26" s="514"/>
      <c r="CN26" s="514"/>
      <c r="CO26" s="514"/>
    </row>
    <row r="27" spans="1:93" ht="16.649999999999999" customHeight="1">
      <c r="B27" s="467" t="s">
        <v>2946</v>
      </c>
      <c r="C27" s="468"/>
      <c r="D27" s="468"/>
      <c r="E27" s="469"/>
      <c r="F27" s="470"/>
      <c r="G27" s="471"/>
      <c r="H27" s="471"/>
      <c r="I27" s="471"/>
      <c r="J27" s="472"/>
      <c r="K27" s="473"/>
      <c r="L27" s="427" t="s">
        <v>60</v>
      </c>
      <c r="M27" s="485"/>
      <c r="N27" s="486"/>
      <c r="O27" s="487"/>
      <c r="P27" s="488"/>
      <c r="Q27" s="467" t="s">
        <v>2946</v>
      </c>
      <c r="R27" s="468"/>
      <c r="S27" s="468"/>
      <c r="T27" s="469"/>
      <c r="U27" s="470"/>
      <c r="V27" s="471"/>
      <c r="W27" s="471"/>
      <c r="X27" s="471"/>
      <c r="Y27" s="472"/>
      <c r="Z27" s="473"/>
      <c r="AA27" s="427" t="s">
        <v>60</v>
      </c>
      <c r="AB27" s="485"/>
      <c r="AC27" s="486"/>
      <c r="AD27" s="487"/>
      <c r="AE27" s="488"/>
      <c r="AF27" s="467" t="s">
        <v>2946</v>
      </c>
      <c r="AG27" s="468"/>
      <c r="AH27" s="468"/>
      <c r="AI27" s="469"/>
      <c r="AJ27" s="470"/>
      <c r="AK27" s="471"/>
      <c r="AL27" s="471"/>
      <c r="AM27" s="471"/>
      <c r="AN27" s="472"/>
      <c r="AO27" s="473"/>
      <c r="AP27" s="427" t="s">
        <v>60</v>
      </c>
      <c r="AQ27" s="485"/>
      <c r="AR27" s="486"/>
      <c r="AS27" s="487"/>
      <c r="AT27" s="488"/>
      <c r="AW27" s="373"/>
      <c r="AX27" s="516"/>
      <c r="AY27" s="516"/>
      <c r="AZ27" s="516"/>
      <c r="BA27" s="516"/>
      <c r="BB27" s="516"/>
      <c r="BC27" s="515"/>
      <c r="BD27" s="515"/>
      <c r="BE27" s="515"/>
      <c r="BF27" s="515"/>
      <c r="BG27" s="515"/>
      <c r="BH27" s="515"/>
      <c r="BI27" s="515"/>
      <c r="BJ27" s="515"/>
      <c r="BK27" s="515"/>
      <c r="BL27" s="515"/>
      <c r="BM27" s="515"/>
      <c r="BN27" s="515"/>
      <c r="BO27" s="515"/>
      <c r="BP27" s="515"/>
      <c r="BQ27" s="515"/>
      <c r="BR27" s="515"/>
      <c r="BS27" s="3"/>
      <c r="BT27" s="375"/>
      <c r="BU27" s="516"/>
      <c r="BV27" s="516"/>
      <c r="BW27" s="516"/>
      <c r="BX27" s="516"/>
      <c r="BY27" s="516"/>
      <c r="BZ27" s="515"/>
      <c r="CA27" s="515"/>
      <c r="CB27" s="515"/>
      <c r="CC27" s="515"/>
      <c r="CD27" s="515"/>
      <c r="CE27" s="515"/>
      <c r="CF27" s="515"/>
      <c r="CG27" s="515"/>
      <c r="CH27" s="515"/>
      <c r="CI27" s="515"/>
      <c r="CJ27" s="515"/>
      <c r="CK27" s="515"/>
      <c r="CL27" s="515"/>
      <c r="CM27" s="515"/>
      <c r="CN27" s="515"/>
      <c r="CO27" s="515"/>
    </row>
    <row r="28" spans="1:93" ht="16.649999999999999" customHeight="1">
      <c r="B28" s="577" t="s">
        <v>2946</v>
      </c>
      <c r="C28" s="578"/>
      <c r="D28" s="578"/>
      <c r="E28" s="579"/>
      <c r="F28" s="474"/>
      <c r="G28" s="475"/>
      <c r="H28" s="475"/>
      <c r="I28" s="475"/>
      <c r="J28" s="476"/>
      <c r="K28" s="477"/>
      <c r="L28" s="428" t="s">
        <v>60</v>
      </c>
      <c r="M28" s="478"/>
      <c r="N28" s="479"/>
      <c r="O28" s="483"/>
      <c r="P28" s="484"/>
      <c r="Q28" s="577" t="s">
        <v>2946</v>
      </c>
      <c r="R28" s="578"/>
      <c r="S28" s="578"/>
      <c r="T28" s="579"/>
      <c r="U28" s="474"/>
      <c r="V28" s="475"/>
      <c r="W28" s="475"/>
      <c r="X28" s="475"/>
      <c r="Y28" s="476"/>
      <c r="Z28" s="477"/>
      <c r="AA28" s="428" t="s">
        <v>60</v>
      </c>
      <c r="AB28" s="478"/>
      <c r="AC28" s="479"/>
      <c r="AD28" s="483"/>
      <c r="AE28" s="484"/>
      <c r="AF28" s="577" t="s">
        <v>2946</v>
      </c>
      <c r="AG28" s="578"/>
      <c r="AH28" s="578"/>
      <c r="AI28" s="579"/>
      <c r="AJ28" s="474"/>
      <c r="AK28" s="475"/>
      <c r="AL28" s="475"/>
      <c r="AM28" s="475"/>
      <c r="AN28" s="476"/>
      <c r="AO28" s="477"/>
      <c r="AP28" s="428" t="s">
        <v>60</v>
      </c>
      <c r="AQ28" s="478"/>
      <c r="AR28" s="479"/>
      <c r="AS28" s="483"/>
      <c r="AT28" s="484"/>
      <c r="AW28" s="374"/>
      <c r="AX28" s="489"/>
      <c r="AY28" s="489"/>
      <c r="AZ28" s="489"/>
      <c r="BA28" s="489"/>
      <c r="BB28" s="489"/>
      <c r="BC28" s="514"/>
      <c r="BD28" s="514"/>
      <c r="BE28" s="514"/>
      <c r="BF28" s="514"/>
      <c r="BG28" s="514"/>
      <c r="BH28" s="514"/>
      <c r="BI28" s="514"/>
      <c r="BJ28" s="514"/>
      <c r="BK28" s="514"/>
      <c r="BL28" s="514"/>
      <c r="BM28" s="514"/>
      <c r="BN28" s="514"/>
      <c r="BO28" s="514"/>
      <c r="BP28" s="514"/>
      <c r="BQ28" s="514"/>
      <c r="BR28" s="514"/>
      <c r="BS28" s="3"/>
      <c r="BT28" s="376"/>
      <c r="BU28" s="489"/>
      <c r="BV28" s="489"/>
      <c r="BW28" s="489"/>
      <c r="BX28" s="489"/>
      <c r="BY28" s="489"/>
      <c r="BZ28" s="514"/>
      <c r="CA28" s="514"/>
      <c r="CB28" s="514"/>
      <c r="CC28" s="514"/>
      <c r="CD28" s="514"/>
      <c r="CE28" s="514"/>
      <c r="CF28" s="514"/>
      <c r="CG28" s="514"/>
      <c r="CH28" s="514"/>
      <c r="CI28" s="514"/>
      <c r="CJ28" s="514"/>
      <c r="CK28" s="514"/>
      <c r="CL28" s="514"/>
      <c r="CM28" s="514"/>
      <c r="CN28" s="514"/>
      <c r="CO28" s="514"/>
    </row>
    <row r="29" spans="1:93" ht="16.649999999999999" customHeight="1">
      <c r="AH29" s="46"/>
      <c r="AI29" s="46"/>
      <c r="AJ29" s="46"/>
      <c r="AK29" s="46"/>
      <c r="AL29" s="46"/>
      <c r="AM29" s="46"/>
      <c r="AN29" s="46"/>
      <c r="AO29" s="46"/>
      <c r="AP29" s="46"/>
      <c r="AQ29" s="46"/>
      <c r="AR29" s="46"/>
      <c r="AS29" s="46"/>
      <c r="AT29" s="46"/>
      <c r="AW29" s="373"/>
      <c r="AX29" s="516"/>
      <c r="AY29" s="516"/>
      <c r="AZ29" s="516"/>
      <c r="BA29" s="516"/>
      <c r="BB29" s="516"/>
      <c r="BC29" s="515"/>
      <c r="BD29" s="515"/>
      <c r="BE29" s="515"/>
      <c r="BF29" s="515"/>
      <c r="BG29" s="515"/>
      <c r="BH29" s="515"/>
      <c r="BI29" s="515"/>
      <c r="BJ29" s="515"/>
      <c r="BK29" s="515"/>
      <c r="BL29" s="515"/>
      <c r="BM29" s="515"/>
      <c r="BN29" s="515"/>
      <c r="BO29" s="515"/>
      <c r="BP29" s="515"/>
      <c r="BQ29" s="515"/>
      <c r="BR29" s="515"/>
      <c r="BS29" s="3"/>
      <c r="BT29" s="375"/>
      <c r="BU29" s="516"/>
      <c r="BV29" s="516"/>
      <c r="BW29" s="516"/>
      <c r="BX29" s="516"/>
      <c r="BY29" s="516"/>
      <c r="BZ29" s="515"/>
      <c r="CA29" s="515"/>
      <c r="CB29" s="515"/>
      <c r="CC29" s="515"/>
      <c r="CD29" s="515"/>
      <c r="CE29" s="515"/>
      <c r="CF29" s="515"/>
      <c r="CG29" s="515"/>
      <c r="CH29" s="515"/>
      <c r="CI29" s="515"/>
      <c r="CJ29" s="515"/>
      <c r="CK29" s="515"/>
      <c r="CL29" s="515"/>
      <c r="CM29" s="515"/>
      <c r="CN29" s="515"/>
      <c r="CO29" s="515"/>
    </row>
    <row r="30" spans="1:93" ht="16.649999999999999" customHeight="1">
      <c r="B30" s="533" t="s">
        <v>6652</v>
      </c>
      <c r="C30" s="533"/>
      <c r="D30" s="533"/>
      <c r="E30" s="533"/>
      <c r="F30" s="533"/>
      <c r="G30" s="533"/>
      <c r="H30" s="533"/>
      <c r="I30" s="533"/>
      <c r="J30" s="533"/>
      <c r="K30" s="533"/>
      <c r="L30" s="533"/>
      <c r="M30" s="533"/>
      <c r="N30" s="533"/>
      <c r="O30" s="533"/>
      <c r="P30" s="533"/>
      <c r="Q30" s="533"/>
      <c r="R30" s="533"/>
      <c r="S30" s="533"/>
      <c r="T30" s="533"/>
      <c r="U30" s="576" t="s">
        <v>4714</v>
      </c>
      <c r="V30" s="576"/>
      <c r="W30" s="576"/>
      <c r="X30" s="576"/>
      <c r="Y30" s="576"/>
      <c r="Z30" s="576"/>
      <c r="AA30" s="614" t="s">
        <v>4715</v>
      </c>
      <c r="AB30" s="614"/>
      <c r="AC30" s="614"/>
      <c r="AE30" s="576" t="s">
        <v>6514</v>
      </c>
      <c r="AF30" s="576"/>
      <c r="AG30" s="576"/>
      <c r="AH30" s="576"/>
      <c r="AI30" s="576"/>
      <c r="AJ30" s="576"/>
      <c r="AK30" s="614" t="s">
        <v>6505</v>
      </c>
      <c r="AL30" s="614"/>
      <c r="AM30" s="614"/>
      <c r="AN30" s="614"/>
      <c r="AO30" s="614"/>
      <c r="AP30" s="576" t="s">
        <v>6077</v>
      </c>
      <c r="AQ30" s="576"/>
      <c r="AR30" s="576"/>
      <c r="AS30" s="614">
        <v>0</v>
      </c>
      <c r="AT30" s="614"/>
      <c r="AU30" s="45"/>
      <c r="AW30" s="374"/>
      <c r="AX30" s="489"/>
      <c r="AY30" s="489"/>
      <c r="AZ30" s="489"/>
      <c r="BA30" s="489"/>
      <c r="BB30" s="489"/>
      <c r="BC30" s="514"/>
      <c r="BD30" s="514"/>
      <c r="BE30" s="514"/>
      <c r="BF30" s="514"/>
      <c r="BG30" s="514"/>
      <c r="BH30" s="514"/>
      <c r="BI30" s="514"/>
      <c r="BJ30" s="514"/>
      <c r="BK30" s="514"/>
      <c r="BL30" s="514"/>
      <c r="BM30" s="514"/>
      <c r="BN30" s="514"/>
      <c r="BO30" s="514"/>
      <c r="BP30" s="514"/>
      <c r="BQ30" s="514"/>
      <c r="BR30" s="514"/>
      <c r="BS30" s="3"/>
    </row>
    <row r="31" spans="1:93" ht="16.649999999999999" customHeight="1">
      <c r="A31" s="67"/>
      <c r="B31" s="506" t="s">
        <v>83</v>
      </c>
      <c r="C31" s="506"/>
      <c r="D31" s="506"/>
      <c r="E31" s="437"/>
      <c r="F31" s="435" t="s">
        <v>75</v>
      </c>
      <c r="H31" s="637" t="s">
        <v>84</v>
      </c>
      <c r="I31" s="637"/>
      <c r="J31" s="637"/>
      <c r="K31" s="434"/>
      <c r="L31" s="435" t="s">
        <v>4002</v>
      </c>
      <c r="M31" s="3"/>
      <c r="N31" s="481" t="s">
        <v>77</v>
      </c>
      <c r="O31" s="481"/>
      <c r="P31" s="481"/>
      <c r="Q31" s="481"/>
      <c r="R31" s="481"/>
      <c r="S31" s="481"/>
      <c r="T31" s="481"/>
      <c r="W31" s="435" t="s">
        <v>6515</v>
      </c>
      <c r="X31" s="480" t="s">
        <v>85</v>
      </c>
      <c r="Y31" s="480"/>
      <c r="Z31" s="480"/>
      <c r="AA31" s="480"/>
      <c r="AB31" s="481" t="s">
        <v>86</v>
      </c>
      <c r="AC31" s="481"/>
      <c r="AD31" s="481"/>
      <c r="AE31" s="481"/>
      <c r="AF31" s="493" t="s">
        <v>6081</v>
      </c>
      <c r="AG31" s="493"/>
      <c r="AH31" s="480" t="s">
        <v>6074</v>
      </c>
      <c r="AI31" s="480"/>
      <c r="AJ31" s="480"/>
      <c r="AK31" s="480"/>
      <c r="AL31" s="493" t="s">
        <v>6081</v>
      </c>
      <c r="AM31" s="493"/>
      <c r="AN31" s="480" t="s">
        <v>6074</v>
      </c>
      <c r="AO31" s="480"/>
      <c r="AP31" s="480"/>
      <c r="AQ31" s="480"/>
      <c r="AR31" s="480"/>
      <c r="AS31" s="493" t="s">
        <v>6081</v>
      </c>
      <c r="AT31" s="493"/>
      <c r="AW31" s="373"/>
      <c r="AX31" s="516"/>
      <c r="AY31" s="516"/>
      <c r="AZ31" s="516"/>
      <c r="BA31" s="516"/>
      <c r="BB31" s="516"/>
      <c r="BC31" s="515"/>
      <c r="BD31" s="515"/>
      <c r="BE31" s="515"/>
      <c r="BF31" s="515"/>
      <c r="BG31" s="515"/>
      <c r="BH31" s="515"/>
      <c r="BI31" s="515"/>
      <c r="BJ31" s="515"/>
      <c r="BK31" s="515"/>
      <c r="BL31" s="515"/>
      <c r="BM31" s="515"/>
      <c r="BN31" s="515"/>
      <c r="BO31" s="515"/>
      <c r="BP31" s="515"/>
      <c r="BQ31" s="515"/>
      <c r="BR31" s="515"/>
      <c r="BS31" s="3"/>
      <c r="BT31" s="685" t="s">
        <v>70</v>
      </c>
      <c r="BU31" s="685"/>
      <c r="BV31" s="685"/>
      <c r="BW31" s="685"/>
      <c r="BX31" s="685"/>
      <c r="BY31" s="685"/>
      <c r="BZ31" s="685"/>
      <c r="CA31" s="685"/>
      <c r="CB31" s="685"/>
      <c r="CC31" s="685"/>
      <c r="CD31" s="685"/>
      <c r="CE31" s="685"/>
      <c r="CF31" s="685"/>
      <c r="CG31" s="685"/>
      <c r="CH31" s="685"/>
      <c r="CI31" s="685"/>
      <c r="CJ31" s="685"/>
      <c r="CK31" s="685"/>
      <c r="CL31" s="685"/>
      <c r="CM31" s="685"/>
      <c r="CN31" s="685"/>
      <c r="CO31" s="685"/>
    </row>
    <row r="32" spans="1:93" ht="16.649999999999999" customHeight="1">
      <c r="A32" s="67"/>
      <c r="B32" s="606"/>
      <c r="C32" s="606"/>
      <c r="D32" s="606"/>
      <c r="E32" s="606"/>
      <c r="F32" s="442"/>
      <c r="G32" s="433" t="s">
        <v>49</v>
      </c>
      <c r="H32" s="546"/>
      <c r="I32" s="546"/>
      <c r="J32" s="546"/>
      <c r="K32" s="518"/>
      <c r="L32" s="378"/>
      <c r="M32" s="631"/>
      <c r="N32" s="632"/>
      <c r="O32" s="632"/>
      <c r="P32" s="632"/>
      <c r="Q32" s="632"/>
      <c r="R32" s="632"/>
      <c r="S32" s="632"/>
      <c r="T32" s="632"/>
      <c r="U32" s="633"/>
      <c r="V32" s="433" t="s">
        <v>49</v>
      </c>
      <c r="W32" s="442" t="s">
        <v>5957</v>
      </c>
      <c r="X32" s="573" t="s">
        <v>4005</v>
      </c>
      <c r="Y32" s="574"/>
      <c r="Z32" s="519" t="str">
        <f>装备!Y2</f>
        <v/>
      </c>
      <c r="AA32" s="520"/>
      <c r="AB32" s="518" t="str">
        <f>装备!W2</f>
        <v xml:space="preserve"> </v>
      </c>
      <c r="AC32" s="519"/>
      <c r="AD32" s="519" t="str">
        <f>IF(装备!AA2="","",IF(装备!AA2&gt;=0,CONCATENATE("+",装备!AA2),装备!AA2))</f>
        <v/>
      </c>
      <c r="AE32" s="520"/>
      <c r="AF32" s="546" t="str">
        <f>装备!X2</f>
        <v xml:space="preserve"> </v>
      </c>
      <c r="AG32" s="546"/>
      <c r="AH32" s="518"/>
      <c r="AI32" s="519"/>
      <c r="AJ32" s="519"/>
      <c r="AK32" s="520"/>
      <c r="AL32" s="546"/>
      <c r="AM32" s="546"/>
      <c r="AN32" s="518"/>
      <c r="AO32" s="519"/>
      <c r="AP32" s="519"/>
      <c r="AQ32" s="519"/>
      <c r="AR32" s="520"/>
      <c r="AS32" s="546"/>
      <c r="AT32" s="546"/>
      <c r="AW32" s="374"/>
      <c r="AX32" s="489"/>
      <c r="AY32" s="489"/>
      <c r="AZ32" s="489"/>
      <c r="BA32" s="489"/>
      <c r="BB32" s="489"/>
      <c r="BC32" s="514"/>
      <c r="BD32" s="514"/>
      <c r="BE32" s="514"/>
      <c r="BF32" s="514"/>
      <c r="BG32" s="514"/>
      <c r="BH32" s="514"/>
      <c r="BI32" s="514"/>
      <c r="BJ32" s="514"/>
      <c r="BK32" s="514"/>
      <c r="BL32" s="514"/>
      <c r="BM32" s="514"/>
      <c r="BN32" s="514"/>
      <c r="BO32" s="514"/>
      <c r="BP32" s="514"/>
      <c r="BQ32" s="514"/>
      <c r="BR32" s="514"/>
      <c r="BS32" s="3"/>
      <c r="BT32" s="481" t="s">
        <v>76</v>
      </c>
      <c r="BU32" s="481"/>
      <c r="BV32" s="481"/>
      <c r="BW32" s="481"/>
      <c r="BX32" s="481"/>
      <c r="BY32" s="481"/>
      <c r="BZ32" s="481" t="s">
        <v>132</v>
      </c>
      <c r="CA32" s="481"/>
      <c r="CB32" s="481"/>
      <c r="CC32" s="481"/>
      <c r="CD32" s="481"/>
      <c r="CE32" s="481"/>
      <c r="CF32" s="481"/>
      <c r="CG32" s="481"/>
      <c r="CH32" s="481"/>
      <c r="CI32" s="481"/>
      <c r="CJ32" s="481"/>
      <c r="CK32" s="481"/>
      <c r="CL32" s="481"/>
      <c r="CM32" s="481"/>
      <c r="CN32" s="481"/>
      <c r="CO32" s="481"/>
    </row>
    <row r="33" spans="1:93" ht="16.649999999999999" customHeight="1">
      <c r="A33" s="67"/>
      <c r="B33" s="605"/>
      <c r="C33" s="605"/>
      <c r="D33" s="605"/>
      <c r="E33" s="605"/>
      <c r="F33" s="442"/>
      <c r="G33" s="433" t="s">
        <v>49</v>
      </c>
      <c r="H33" s="609"/>
      <c r="I33" s="609"/>
      <c r="J33" s="609"/>
      <c r="K33" s="610"/>
      <c r="L33" s="379"/>
      <c r="M33" s="628"/>
      <c r="N33" s="629"/>
      <c r="O33" s="629"/>
      <c r="P33" s="629"/>
      <c r="Q33" s="629"/>
      <c r="R33" s="629"/>
      <c r="S33" s="629"/>
      <c r="T33" s="629"/>
      <c r="U33" s="630"/>
      <c r="V33" s="433" t="s">
        <v>49</v>
      </c>
      <c r="W33" s="442" t="s">
        <v>5957</v>
      </c>
      <c r="X33" s="719" t="s">
        <v>4005</v>
      </c>
      <c r="Y33" s="720"/>
      <c r="Z33" s="625" t="str">
        <f>装备!Y3</f>
        <v/>
      </c>
      <c r="AA33" s="626"/>
      <c r="AB33" s="610" t="str">
        <f>装备!W3</f>
        <v xml:space="preserve"> </v>
      </c>
      <c r="AC33" s="625"/>
      <c r="AD33" s="625" t="str">
        <f>IF(装备!AA3="","",IF(装备!AA3&gt;=0,CONCATENATE("+",装备!AA3),装备!AA3))</f>
        <v/>
      </c>
      <c r="AE33" s="626"/>
      <c r="AF33" s="609" t="str">
        <f>装备!X3</f>
        <v xml:space="preserve"> </v>
      </c>
      <c r="AG33" s="609"/>
      <c r="AH33" s="610"/>
      <c r="AI33" s="625"/>
      <c r="AJ33" s="625"/>
      <c r="AK33" s="626"/>
      <c r="AL33" s="609"/>
      <c r="AM33" s="609"/>
      <c r="AN33" s="610"/>
      <c r="AO33" s="625"/>
      <c r="AP33" s="625"/>
      <c r="AQ33" s="625"/>
      <c r="AR33" s="626"/>
      <c r="AS33" s="609"/>
      <c r="AT33" s="609"/>
      <c r="AW33" s="373"/>
      <c r="AX33" s="516"/>
      <c r="AY33" s="516"/>
      <c r="AZ33" s="516"/>
      <c r="BA33" s="516"/>
      <c r="BB33" s="516"/>
      <c r="BC33" s="515"/>
      <c r="BD33" s="515"/>
      <c r="BE33" s="515"/>
      <c r="BF33" s="515"/>
      <c r="BG33" s="515"/>
      <c r="BH33" s="515"/>
      <c r="BI33" s="515"/>
      <c r="BJ33" s="515"/>
      <c r="BK33" s="515"/>
      <c r="BL33" s="515"/>
      <c r="BM33" s="515"/>
      <c r="BN33" s="515"/>
      <c r="BO33" s="515"/>
      <c r="BP33" s="515"/>
      <c r="BQ33" s="515"/>
      <c r="BR33" s="515"/>
      <c r="BS33" s="3"/>
      <c r="BT33" s="516"/>
      <c r="BU33" s="516"/>
      <c r="BV33" s="516"/>
      <c r="BW33" s="516"/>
      <c r="BX33" s="516"/>
      <c r="BY33" s="516"/>
      <c r="BZ33" s="515"/>
      <c r="CA33" s="515"/>
      <c r="CB33" s="515"/>
      <c r="CC33" s="515"/>
      <c r="CD33" s="515"/>
      <c r="CE33" s="515"/>
      <c r="CF33" s="515"/>
      <c r="CG33" s="515"/>
      <c r="CH33" s="515"/>
      <c r="CI33" s="515"/>
      <c r="CJ33" s="515"/>
      <c r="CK33" s="515"/>
      <c r="CL33" s="515"/>
      <c r="CM33" s="515"/>
      <c r="CN33" s="515"/>
      <c r="CO33" s="515"/>
    </row>
    <row r="34" spans="1:93" ht="16.649999999999999" customHeight="1" thickBot="1">
      <c r="A34" s="67"/>
      <c r="B34" s="602"/>
      <c r="C34" s="602"/>
      <c r="D34" s="602"/>
      <c r="E34" s="602"/>
      <c r="F34" s="465"/>
      <c r="G34" s="433" t="s">
        <v>49</v>
      </c>
      <c r="H34" s="603"/>
      <c r="I34" s="603"/>
      <c r="J34" s="603"/>
      <c r="K34" s="604"/>
      <c r="L34" s="466"/>
      <c r="M34" s="634"/>
      <c r="N34" s="635"/>
      <c r="O34" s="635"/>
      <c r="P34" s="635"/>
      <c r="Q34" s="635"/>
      <c r="R34" s="635"/>
      <c r="S34" s="635"/>
      <c r="T34" s="635"/>
      <c r="U34" s="636"/>
      <c r="V34" s="433" t="s">
        <v>49</v>
      </c>
      <c r="W34" s="465" t="s">
        <v>5957</v>
      </c>
      <c r="X34" s="565" t="s">
        <v>4005</v>
      </c>
      <c r="Y34" s="566"/>
      <c r="Z34" s="643" t="str">
        <f>装备!Y4</f>
        <v/>
      </c>
      <c r="AA34" s="644"/>
      <c r="AB34" s="604" t="str">
        <f>装备!W4</f>
        <v xml:space="preserve"> </v>
      </c>
      <c r="AC34" s="643"/>
      <c r="AD34" s="643" t="str">
        <f>IF(装备!AA4="","",IF(装备!AA4&gt;=0,CONCATENATE("+",装备!AA4),装备!AA4))</f>
        <v/>
      </c>
      <c r="AE34" s="644"/>
      <c r="AF34" s="718" t="str">
        <f>装备!X4</f>
        <v xml:space="preserve"> </v>
      </c>
      <c r="AG34" s="718"/>
      <c r="AH34" s="604"/>
      <c r="AI34" s="643"/>
      <c r="AJ34" s="643"/>
      <c r="AK34" s="644"/>
      <c r="AL34" s="718"/>
      <c r="AM34" s="718"/>
      <c r="AN34" s="604"/>
      <c r="AO34" s="643"/>
      <c r="AP34" s="643"/>
      <c r="AQ34" s="643"/>
      <c r="AR34" s="644"/>
      <c r="AS34" s="718"/>
      <c r="AT34" s="718"/>
      <c r="AW34" s="374"/>
      <c r="AX34" s="489"/>
      <c r="AY34" s="489"/>
      <c r="AZ34" s="489"/>
      <c r="BA34" s="489"/>
      <c r="BB34" s="489"/>
      <c r="BC34" s="514"/>
      <c r="BD34" s="514"/>
      <c r="BE34" s="514"/>
      <c r="BF34" s="514"/>
      <c r="BG34" s="514"/>
      <c r="BH34" s="514"/>
      <c r="BI34" s="514"/>
      <c r="BJ34" s="514"/>
      <c r="BK34" s="514"/>
      <c r="BL34" s="514"/>
      <c r="BM34" s="514"/>
      <c r="BN34" s="514"/>
      <c r="BO34" s="514"/>
      <c r="BP34" s="514"/>
      <c r="BQ34" s="514"/>
      <c r="BR34" s="514"/>
      <c r="BS34" s="3"/>
      <c r="BT34" s="489"/>
      <c r="BU34" s="489"/>
      <c r="BV34" s="489"/>
      <c r="BW34" s="489"/>
      <c r="BX34" s="489"/>
      <c r="BY34" s="489"/>
      <c r="BZ34" s="514"/>
      <c r="CA34" s="514"/>
      <c r="CB34" s="514"/>
      <c r="CC34" s="514"/>
      <c r="CD34" s="514"/>
      <c r="CE34" s="514"/>
      <c r="CF34" s="514"/>
      <c r="CG34" s="514"/>
      <c r="CH34" s="514"/>
      <c r="CI34" s="514"/>
      <c r="CJ34" s="514"/>
      <c r="CK34" s="514"/>
      <c r="CL34" s="514"/>
      <c r="CM34" s="514"/>
      <c r="CN34" s="514"/>
      <c r="CO34" s="514"/>
    </row>
    <row r="35" spans="1:93" ht="16.649999999999999" customHeight="1">
      <c r="A35" s="67"/>
      <c r="B35" s="645"/>
      <c r="C35" s="645"/>
      <c r="D35" s="645"/>
      <c r="E35" s="645"/>
      <c r="F35" s="463"/>
      <c r="G35" s="433" t="s">
        <v>49</v>
      </c>
      <c r="H35" s="541"/>
      <c r="I35" s="541"/>
      <c r="J35" s="541"/>
      <c r="K35" s="540"/>
      <c r="L35" s="464"/>
      <c r="M35" s="567"/>
      <c r="N35" s="568"/>
      <c r="O35" s="568"/>
      <c r="P35" s="568"/>
      <c r="Q35" s="568"/>
      <c r="R35" s="568"/>
      <c r="S35" s="568"/>
      <c r="T35" s="568"/>
      <c r="U35" s="569"/>
      <c r="V35" s="433" t="s">
        <v>49</v>
      </c>
      <c r="W35" s="463" t="s">
        <v>5957</v>
      </c>
      <c r="X35" s="623" t="s">
        <v>4005</v>
      </c>
      <c r="Y35" s="624"/>
      <c r="Z35" s="538" t="str">
        <f>装备!Y5</f>
        <v/>
      </c>
      <c r="AA35" s="539"/>
      <c r="AB35" s="540" t="str">
        <f>装备!W5</f>
        <v xml:space="preserve"> </v>
      </c>
      <c r="AC35" s="538"/>
      <c r="AD35" s="538" t="str">
        <f>IF(装备!AA5="","",IF(装备!AA5&gt;=0,CONCATENATE("+",装备!AA5),装备!AA5))</f>
        <v/>
      </c>
      <c r="AE35" s="539"/>
      <c r="AF35" s="671" t="str">
        <f>装备!X5</f>
        <v xml:space="preserve"> </v>
      </c>
      <c r="AG35" s="671"/>
      <c r="AH35" s="540"/>
      <c r="AI35" s="538"/>
      <c r="AJ35" s="538"/>
      <c r="AK35" s="539"/>
      <c r="AL35" s="671"/>
      <c r="AM35" s="671"/>
      <c r="AN35" s="540"/>
      <c r="AO35" s="538"/>
      <c r="AP35" s="538"/>
      <c r="AQ35" s="538"/>
      <c r="AR35" s="539"/>
      <c r="AS35" s="671"/>
      <c r="AT35" s="671"/>
      <c r="AW35" s="373"/>
      <c r="AX35" s="516"/>
      <c r="AY35" s="516"/>
      <c r="AZ35" s="516"/>
      <c r="BA35" s="516"/>
      <c r="BB35" s="516"/>
      <c r="BC35" s="515"/>
      <c r="BD35" s="515"/>
      <c r="BE35" s="515"/>
      <c r="BF35" s="515"/>
      <c r="BG35" s="515"/>
      <c r="BH35" s="515"/>
      <c r="BI35" s="515"/>
      <c r="BJ35" s="515"/>
      <c r="BK35" s="515"/>
      <c r="BL35" s="515"/>
      <c r="BM35" s="515"/>
      <c r="BN35" s="515"/>
      <c r="BO35" s="515"/>
      <c r="BP35" s="515"/>
      <c r="BQ35" s="515"/>
      <c r="BR35" s="515"/>
      <c r="BS35" s="3"/>
      <c r="BT35" s="516"/>
      <c r="BU35" s="516"/>
      <c r="BV35" s="516"/>
      <c r="BW35" s="516"/>
      <c r="BX35" s="516"/>
      <c r="BY35" s="516"/>
      <c r="BZ35" s="515"/>
      <c r="CA35" s="515"/>
      <c r="CB35" s="515"/>
      <c r="CC35" s="515"/>
      <c r="CD35" s="515"/>
      <c r="CE35" s="515"/>
      <c r="CF35" s="515"/>
      <c r="CG35" s="515"/>
      <c r="CH35" s="515"/>
      <c r="CI35" s="515"/>
      <c r="CJ35" s="515"/>
      <c r="CK35" s="515"/>
      <c r="CL35" s="515"/>
      <c r="CM35" s="515"/>
      <c r="CN35" s="515"/>
      <c r="CO35" s="515"/>
    </row>
    <row r="36" spans="1:93" ht="16.649999999999999" customHeight="1">
      <c r="A36" s="67"/>
      <c r="B36" s="606"/>
      <c r="C36" s="606"/>
      <c r="D36" s="606"/>
      <c r="E36" s="606"/>
      <c r="F36" s="442"/>
      <c r="G36" s="433" t="s">
        <v>49</v>
      </c>
      <c r="H36" s="546"/>
      <c r="I36" s="546"/>
      <c r="J36" s="546"/>
      <c r="K36" s="518"/>
      <c r="L36" s="378"/>
      <c r="M36" s="631"/>
      <c r="N36" s="632"/>
      <c r="O36" s="632"/>
      <c r="P36" s="632"/>
      <c r="Q36" s="632"/>
      <c r="R36" s="632"/>
      <c r="S36" s="632"/>
      <c r="T36" s="632"/>
      <c r="U36" s="633"/>
      <c r="V36" s="433" t="s">
        <v>49</v>
      </c>
      <c r="W36" s="442" t="s">
        <v>5957</v>
      </c>
      <c r="X36" s="573" t="s">
        <v>4005</v>
      </c>
      <c r="Y36" s="574"/>
      <c r="Z36" s="519" t="str">
        <f>装备!Y6</f>
        <v/>
      </c>
      <c r="AA36" s="520"/>
      <c r="AB36" s="518" t="str">
        <f>装备!W6</f>
        <v xml:space="preserve"> </v>
      </c>
      <c r="AC36" s="519"/>
      <c r="AD36" s="519" t="str">
        <f>IF(装备!AA6="","",IF(装备!AA6&gt;=0,CONCATENATE("+",装备!AA6),装备!AA6))</f>
        <v/>
      </c>
      <c r="AE36" s="520"/>
      <c r="AF36" s="546" t="str">
        <f>装备!X6</f>
        <v xml:space="preserve"> </v>
      </c>
      <c r="AG36" s="546"/>
      <c r="AH36" s="518"/>
      <c r="AI36" s="519"/>
      <c r="AJ36" s="519"/>
      <c r="AK36" s="520"/>
      <c r="AL36" s="546"/>
      <c r="AM36" s="546"/>
      <c r="AN36" s="518"/>
      <c r="AO36" s="519"/>
      <c r="AP36" s="519"/>
      <c r="AQ36" s="519"/>
      <c r="AR36" s="520"/>
      <c r="AS36" s="546"/>
      <c r="AT36" s="546"/>
      <c r="AW36" s="374"/>
      <c r="AX36" s="489"/>
      <c r="AY36" s="489"/>
      <c r="AZ36" s="489"/>
      <c r="BA36" s="489"/>
      <c r="BB36" s="489"/>
      <c r="BC36" s="514"/>
      <c r="BD36" s="514"/>
      <c r="BE36" s="514"/>
      <c r="BF36" s="514"/>
      <c r="BG36" s="514"/>
      <c r="BH36" s="514"/>
      <c r="BI36" s="514"/>
      <c r="BJ36" s="514"/>
      <c r="BK36" s="514"/>
      <c r="BL36" s="514"/>
      <c r="BM36" s="514"/>
      <c r="BN36" s="514"/>
      <c r="BO36" s="514"/>
      <c r="BP36" s="514"/>
      <c r="BQ36" s="514"/>
      <c r="BR36" s="514"/>
      <c r="BS36" s="3"/>
      <c r="BT36" s="489"/>
      <c r="BU36" s="489"/>
      <c r="BV36" s="489"/>
      <c r="BW36" s="489"/>
      <c r="BX36" s="489"/>
      <c r="BY36" s="489"/>
      <c r="BZ36" s="514"/>
      <c r="CA36" s="514"/>
      <c r="CB36" s="514"/>
      <c r="CC36" s="514"/>
      <c r="CD36" s="514"/>
      <c r="CE36" s="514"/>
      <c r="CF36" s="514"/>
      <c r="CG36" s="514"/>
      <c r="CH36" s="514"/>
      <c r="CI36" s="514"/>
      <c r="CJ36" s="514"/>
      <c r="CK36" s="514"/>
      <c r="CL36" s="514"/>
      <c r="CM36" s="514"/>
      <c r="CN36" s="514"/>
      <c r="CO36" s="514"/>
    </row>
    <row r="37" spans="1:93" ht="16.649999999999999" customHeight="1">
      <c r="A37" s="67"/>
      <c r="AH37" s="46"/>
      <c r="AI37" s="46"/>
      <c r="AJ37" s="46"/>
      <c r="AK37" s="46"/>
      <c r="AL37" s="46"/>
      <c r="AM37" s="46"/>
      <c r="AN37" s="46"/>
      <c r="AO37" s="46"/>
      <c r="AP37" s="46"/>
      <c r="AQ37" s="46"/>
      <c r="AR37" s="46"/>
      <c r="AS37" s="46"/>
      <c r="AT37" s="46"/>
      <c r="AW37" s="373"/>
      <c r="AX37" s="516"/>
      <c r="AY37" s="516"/>
      <c r="AZ37" s="516"/>
      <c r="BA37" s="516"/>
      <c r="BB37" s="516"/>
      <c r="BC37" s="515"/>
      <c r="BD37" s="515"/>
      <c r="BE37" s="515"/>
      <c r="BF37" s="515"/>
      <c r="BG37" s="515"/>
      <c r="BH37" s="515"/>
      <c r="BI37" s="515"/>
      <c r="BJ37" s="515"/>
      <c r="BK37" s="515"/>
      <c r="BL37" s="515"/>
      <c r="BM37" s="515"/>
      <c r="BN37" s="515"/>
      <c r="BO37" s="515"/>
      <c r="BP37" s="515"/>
      <c r="BQ37" s="515"/>
      <c r="BR37" s="515"/>
      <c r="BS37" s="3"/>
      <c r="BT37" s="516"/>
      <c r="BU37" s="516"/>
      <c r="BV37" s="516"/>
      <c r="BW37" s="516"/>
      <c r="BX37" s="516"/>
      <c r="BY37" s="516"/>
      <c r="BZ37" s="515"/>
      <c r="CA37" s="515"/>
      <c r="CB37" s="515"/>
      <c r="CC37" s="515"/>
      <c r="CD37" s="515"/>
      <c r="CE37" s="515"/>
      <c r="CF37" s="515"/>
      <c r="CG37" s="515"/>
      <c r="CH37" s="515"/>
      <c r="CI37" s="515"/>
      <c r="CJ37" s="515"/>
      <c r="CK37" s="515"/>
      <c r="CL37" s="515"/>
      <c r="CM37" s="515"/>
      <c r="CN37" s="515"/>
      <c r="CO37" s="515"/>
    </row>
    <row r="38" spans="1:93" ht="16.649999999999999" customHeight="1">
      <c r="A38" s="67"/>
      <c r="B38" s="533" t="s">
        <v>72</v>
      </c>
      <c r="C38" s="533"/>
      <c r="D38" s="533"/>
      <c r="E38" s="533"/>
      <c r="F38" s="533"/>
      <c r="G38" s="533"/>
      <c r="H38" s="533"/>
      <c r="I38" s="533"/>
      <c r="J38" s="533"/>
      <c r="L38" s="533" t="s">
        <v>73</v>
      </c>
      <c r="M38" s="533"/>
      <c r="N38" s="533"/>
      <c r="O38" s="533"/>
      <c r="P38" s="533"/>
      <c r="Q38" s="533"/>
      <c r="R38" s="533"/>
      <c r="S38" s="533"/>
      <c r="T38" s="533"/>
      <c r="U38" s="533"/>
      <c r="V38" s="533"/>
      <c r="W38" s="533"/>
      <c r="X38" s="533"/>
      <c r="Y38" s="533"/>
      <c r="Z38" s="533"/>
      <c r="AA38" s="533"/>
      <c r="AB38" s="533"/>
      <c r="AC38" s="533"/>
      <c r="AD38" s="533"/>
      <c r="AE38" s="533"/>
      <c r="AF38" s="533"/>
      <c r="AG38" s="533"/>
      <c r="AH38" s="533"/>
      <c r="AI38" s="533"/>
      <c r="AJ38" s="533"/>
      <c r="AK38" s="533"/>
      <c r="AL38" s="533"/>
      <c r="AM38" s="537" t="s">
        <v>6500</v>
      </c>
      <c r="AN38" s="537"/>
      <c r="AO38" s="537"/>
      <c r="AP38" s="537"/>
      <c r="AQ38" s="537"/>
      <c r="AR38" s="537"/>
      <c r="AS38" s="547">
        <f>SUM(数据表!CI23:CI39)</f>
        <v>0</v>
      </c>
      <c r="AT38" s="547"/>
      <c r="AW38" s="374"/>
      <c r="AX38" s="489"/>
      <c r="AY38" s="489"/>
      <c r="AZ38" s="489"/>
      <c r="BA38" s="489"/>
      <c r="BB38" s="489"/>
      <c r="BC38" s="514"/>
      <c r="BD38" s="514"/>
      <c r="BE38" s="514"/>
      <c r="BF38" s="514"/>
      <c r="BG38" s="514"/>
      <c r="BH38" s="514"/>
      <c r="BI38" s="514"/>
      <c r="BJ38" s="514"/>
      <c r="BK38" s="514"/>
      <c r="BL38" s="514"/>
      <c r="BM38" s="514"/>
      <c r="BN38" s="514"/>
      <c r="BO38" s="514"/>
      <c r="BP38" s="514"/>
      <c r="BQ38" s="514"/>
      <c r="BR38" s="514"/>
    </row>
    <row r="39" spans="1:93" ht="16.649999999999999" customHeight="1">
      <c r="A39" s="67"/>
      <c r="B39" s="613" t="s">
        <v>6653</v>
      </c>
      <c r="C39" s="613"/>
      <c r="D39" s="613"/>
      <c r="E39" s="613"/>
      <c r="F39" s="613"/>
      <c r="G39" s="613"/>
      <c r="H39" s="614" t="s">
        <v>4020</v>
      </c>
      <c r="I39" s="614"/>
      <c r="J39" s="614"/>
      <c r="L39" s="506" t="s">
        <v>74</v>
      </c>
      <c r="M39" s="506"/>
      <c r="N39" s="506"/>
      <c r="O39" s="432"/>
      <c r="P39" s="435" t="s">
        <v>75</v>
      </c>
      <c r="Q39" s="434"/>
      <c r="R39" s="481" t="s">
        <v>76</v>
      </c>
      <c r="S39" s="481"/>
      <c r="T39" s="436"/>
      <c r="U39" s="435" t="s">
        <v>4002</v>
      </c>
      <c r="V39" s="481" t="s">
        <v>77</v>
      </c>
      <c r="W39" s="481"/>
      <c r="X39" s="481"/>
      <c r="Y39" s="481"/>
      <c r="Z39" s="481"/>
      <c r="AA39" s="481"/>
      <c r="AB39" s="481"/>
      <c r="AC39" s="481"/>
      <c r="AD39" s="481"/>
      <c r="AE39" s="432"/>
      <c r="AF39" s="481" t="s">
        <v>61</v>
      </c>
      <c r="AG39" s="481"/>
      <c r="AH39" s="542" t="s">
        <v>5923</v>
      </c>
      <c r="AI39" s="542"/>
      <c r="AJ39" s="542"/>
      <c r="AL39" s="506" t="s">
        <v>6581</v>
      </c>
      <c r="AM39" s="506"/>
      <c r="AN39" s="506"/>
      <c r="AO39" s="432"/>
      <c r="AP39" s="435" t="s">
        <v>75</v>
      </c>
      <c r="AQ39" s="481" t="s">
        <v>61</v>
      </c>
      <c r="AR39" s="481"/>
      <c r="AS39" s="481" t="s">
        <v>6024</v>
      </c>
      <c r="AT39" s="481"/>
      <c r="AW39" s="373"/>
      <c r="AX39" s="516"/>
      <c r="AY39" s="516"/>
      <c r="AZ39" s="516"/>
      <c r="BA39" s="516"/>
      <c r="BB39" s="516"/>
      <c r="BC39" s="515"/>
      <c r="BD39" s="515"/>
      <c r="BE39" s="515"/>
      <c r="BF39" s="515"/>
      <c r="BG39" s="515"/>
      <c r="BH39" s="515"/>
      <c r="BI39" s="515"/>
      <c r="BJ39" s="515"/>
      <c r="BK39" s="515"/>
      <c r="BL39" s="515"/>
      <c r="BM39" s="515"/>
      <c r="BN39" s="515"/>
      <c r="BO39" s="515"/>
      <c r="BP39" s="515"/>
      <c r="BQ39" s="515"/>
      <c r="BR39" s="515"/>
      <c r="BT39" s="517" t="s">
        <v>6516</v>
      </c>
      <c r="BU39" s="517"/>
      <c r="BV39" s="517"/>
      <c r="BW39" s="517"/>
      <c r="BX39" s="517"/>
      <c r="BY39" s="517"/>
      <c r="BZ39" s="517"/>
      <c r="CA39" s="517"/>
      <c r="CB39" s="517"/>
      <c r="CC39" s="517"/>
      <c r="CD39" s="517"/>
      <c r="CE39" s="517"/>
      <c r="CF39" s="517"/>
      <c r="CG39" s="517"/>
      <c r="CH39" s="517"/>
      <c r="CI39" s="517"/>
      <c r="CJ39" s="517"/>
      <c r="CK39" s="517"/>
      <c r="CL39" s="517"/>
      <c r="CM39" s="517"/>
      <c r="CN39" s="517"/>
      <c r="CO39" s="517"/>
    </row>
    <row r="40" spans="1:93" ht="16.649999999999999" customHeight="1">
      <c r="A40" s="67"/>
      <c r="B40" s="429" t="s">
        <v>36</v>
      </c>
      <c r="C40" s="436"/>
      <c r="D40" s="493" t="s">
        <v>5933</v>
      </c>
      <c r="E40" s="493"/>
      <c r="F40" s="481" t="s">
        <v>45</v>
      </c>
      <c r="G40" s="481"/>
      <c r="H40" s="436"/>
      <c r="I40" s="481" t="s">
        <v>42</v>
      </c>
      <c r="J40" s="481"/>
      <c r="K40" s="432"/>
      <c r="L40" s="606"/>
      <c r="M40" s="606"/>
      <c r="N40" s="606"/>
      <c r="O40" s="606"/>
      <c r="P40" s="442"/>
      <c r="Q40" s="546"/>
      <c r="R40" s="546"/>
      <c r="S40" s="546"/>
      <c r="T40" s="518"/>
      <c r="U40" s="378"/>
      <c r="V40" s="562"/>
      <c r="W40" s="563"/>
      <c r="X40" s="563"/>
      <c r="Y40" s="563"/>
      <c r="Z40" s="563"/>
      <c r="AA40" s="563"/>
      <c r="AB40" s="563"/>
      <c r="AC40" s="563"/>
      <c r="AD40" s="564"/>
      <c r="AE40" s="438" t="s">
        <v>49</v>
      </c>
      <c r="AF40" s="545">
        <f>装备!Z21+U40</f>
        <v>10</v>
      </c>
      <c r="AG40" s="545"/>
      <c r="AH40" s="439" t="s">
        <v>82</v>
      </c>
      <c r="AI40" s="545">
        <f>装备!AA21</f>
        <v>0</v>
      </c>
      <c r="AJ40" s="545"/>
      <c r="AL40" s="627"/>
      <c r="AM40" s="627"/>
      <c r="AN40" s="627"/>
      <c r="AO40" s="627"/>
      <c r="AP40" s="442"/>
      <c r="AQ40" s="545">
        <v>2</v>
      </c>
      <c r="AR40" s="545"/>
      <c r="AS40" s="545" t="s">
        <v>6025</v>
      </c>
      <c r="AT40" s="545"/>
      <c r="AW40" s="374"/>
      <c r="AX40" s="489"/>
      <c r="AY40" s="489"/>
      <c r="AZ40" s="489"/>
      <c r="BA40" s="489"/>
      <c r="BB40" s="489"/>
      <c r="BC40" s="514"/>
      <c r="BD40" s="514"/>
      <c r="BE40" s="514"/>
      <c r="BF40" s="514"/>
      <c r="BG40" s="514"/>
      <c r="BH40" s="514"/>
      <c r="BI40" s="514"/>
      <c r="BJ40" s="514"/>
      <c r="BK40" s="514"/>
      <c r="BL40" s="514"/>
      <c r="BM40" s="514"/>
      <c r="BN40" s="514"/>
      <c r="BO40" s="514"/>
      <c r="BP40" s="514"/>
      <c r="BQ40" s="514"/>
      <c r="BR40" s="514"/>
      <c r="BT40" s="493" t="s">
        <v>6517</v>
      </c>
      <c r="BU40" s="493"/>
      <c r="BV40" s="493"/>
      <c r="BW40" s="493"/>
      <c r="BX40" s="493" t="s">
        <v>6518</v>
      </c>
      <c r="BY40" s="493"/>
      <c r="BZ40" s="493"/>
      <c r="CA40" s="493"/>
      <c r="CB40" s="493"/>
      <c r="CD40" s="493" t="s">
        <v>3994</v>
      </c>
      <c r="CE40" s="493"/>
      <c r="CF40" s="493" t="s">
        <v>6519</v>
      </c>
      <c r="CG40" s="493"/>
      <c r="CH40" s="493"/>
      <c r="CI40" s="493"/>
      <c r="CJ40" s="493"/>
      <c r="CK40" s="493" t="s">
        <v>6520</v>
      </c>
      <c r="CL40" s="493"/>
      <c r="CN40" s="493" t="s">
        <v>6521</v>
      </c>
      <c r="CO40" s="493"/>
    </row>
    <row r="41" spans="1:93" ht="16.649999999999999" customHeight="1">
      <c r="A41" s="67"/>
      <c r="B41" s="443" t="s">
        <v>4020</v>
      </c>
      <c r="C41" s="553" t="s">
        <v>80</v>
      </c>
      <c r="D41" s="553"/>
      <c r="E41" s="553"/>
      <c r="F41" s="546"/>
      <c r="G41" s="546"/>
      <c r="H41" s="433" t="s">
        <v>49</v>
      </c>
      <c r="I41" s="554">
        <f>R13+F41+IF(B41="O",$S$3,(IF(B41="🅞",$S$3*2,IF($H$39="是",INT($S$3/2),0))))+X11</f>
        <v>0</v>
      </c>
      <c r="J41" s="554"/>
      <c r="L41" s="601" t="s">
        <v>6467</v>
      </c>
      <c r="M41" s="601"/>
      <c r="N41" s="601"/>
      <c r="O41" s="432"/>
      <c r="P41" s="435" t="s">
        <v>75</v>
      </c>
      <c r="Q41" s="434"/>
      <c r="R41" s="481" t="s">
        <v>6654</v>
      </c>
      <c r="S41" s="481"/>
      <c r="T41" s="481"/>
      <c r="U41" s="481" t="s">
        <v>6464</v>
      </c>
      <c r="V41" s="481"/>
      <c r="W41" s="481" t="s">
        <v>77</v>
      </c>
      <c r="X41" s="481"/>
      <c r="Y41" s="481"/>
      <c r="Z41" s="481"/>
      <c r="AA41" s="481"/>
      <c r="AB41" s="481"/>
      <c r="AC41" s="481"/>
      <c r="AD41" s="481"/>
      <c r="AE41" s="481"/>
      <c r="AF41" s="481"/>
      <c r="AG41" s="481"/>
      <c r="AH41" s="481"/>
      <c r="AI41" s="481"/>
      <c r="AJ41" s="481"/>
      <c r="AK41" s="481"/>
      <c r="AL41" s="481"/>
      <c r="AM41" s="481"/>
      <c r="AN41" s="481"/>
      <c r="AO41" s="481"/>
      <c r="AP41" s="481"/>
      <c r="AQ41" s="481"/>
      <c r="AR41" s="481"/>
      <c r="AS41" s="481"/>
      <c r="AT41" s="481"/>
      <c r="AW41" s="373"/>
      <c r="AX41" s="516"/>
      <c r="AY41" s="516"/>
      <c r="AZ41" s="516"/>
      <c r="BA41" s="516"/>
      <c r="BB41" s="516"/>
      <c r="BC41" s="515"/>
      <c r="BD41" s="515"/>
      <c r="BE41" s="515"/>
      <c r="BF41" s="515"/>
      <c r="BG41" s="515"/>
      <c r="BH41" s="515"/>
      <c r="BI41" s="515"/>
      <c r="BJ41" s="515"/>
      <c r="BK41" s="515"/>
      <c r="BL41" s="515"/>
      <c r="BM41" s="515"/>
      <c r="BN41" s="515"/>
      <c r="BO41" s="515"/>
      <c r="BP41" s="515"/>
      <c r="BQ41" s="515"/>
      <c r="BR41" s="515"/>
      <c r="BT41" s="518"/>
      <c r="BU41" s="519"/>
      <c r="BV41" s="519"/>
      <c r="BW41" s="520"/>
      <c r="BX41" s="511"/>
      <c r="BY41" s="512"/>
      <c r="BZ41" s="512"/>
      <c r="CA41" s="512"/>
      <c r="CB41" s="513"/>
      <c r="CC41" s="433" t="s">
        <v>49</v>
      </c>
      <c r="CD41" s="491" t="str">
        <f>IFERROR(VLOOKUP($BX$41,魔宠!$A$3:$AD$21,5,FALSE),"")</f>
        <v/>
      </c>
      <c r="CE41" s="491"/>
      <c r="CF41" s="476"/>
      <c r="CG41" s="477"/>
      <c r="CH41" s="445" t="s">
        <v>60</v>
      </c>
      <c r="CI41" s="521" t="str">
        <f>IFERROR(VLOOKUP($BX$41,魔宠!$A$3:$AD$21,6,FALSE),"")</f>
        <v/>
      </c>
      <c r="CJ41" s="522"/>
      <c r="CK41" s="491" t="str">
        <f>IFERROR(VLOOKUP($BX$41,魔宠!$A$3:$AD$21,7,FALSE),"")</f>
        <v/>
      </c>
      <c r="CL41" s="491"/>
      <c r="CM41" s="433" t="s">
        <v>49</v>
      </c>
      <c r="CN41" s="491" t="str">
        <f>IFERROR(VLOOKUP($BX$41,魔宠!$A$3:$AD$21,8,FALSE),"")</f>
        <v/>
      </c>
      <c r="CO41" s="491"/>
    </row>
    <row r="42" spans="1:93" ht="16.649999999999999" customHeight="1">
      <c r="A42" s="67"/>
      <c r="B42" s="481" t="s">
        <v>6468</v>
      </c>
      <c r="C42" s="481"/>
      <c r="D42" s="481"/>
      <c r="E42" s="481"/>
      <c r="F42" s="481"/>
      <c r="G42" s="481"/>
      <c r="H42" s="44"/>
      <c r="I42" s="47"/>
      <c r="J42" s="47"/>
      <c r="L42" s="606"/>
      <c r="M42" s="606"/>
      <c r="N42" s="606"/>
      <c r="O42" s="606"/>
      <c r="P42" s="442"/>
      <c r="Q42" s="433" t="s">
        <v>49</v>
      </c>
      <c r="R42" s="660"/>
      <c r="S42" s="661"/>
      <c r="T42" s="484"/>
      <c r="U42" s="546"/>
      <c r="V42" s="672"/>
      <c r="W42" s="673"/>
      <c r="X42" s="632"/>
      <c r="Y42" s="632"/>
      <c r="Z42" s="632"/>
      <c r="AA42" s="632"/>
      <c r="AB42" s="632"/>
      <c r="AC42" s="632"/>
      <c r="AD42" s="632"/>
      <c r="AE42" s="632"/>
      <c r="AF42" s="632"/>
      <c r="AG42" s="632"/>
      <c r="AH42" s="632"/>
      <c r="AI42" s="632"/>
      <c r="AJ42" s="632"/>
      <c r="AK42" s="632"/>
      <c r="AL42" s="632"/>
      <c r="AM42" s="632"/>
      <c r="AN42" s="632"/>
      <c r="AO42" s="632"/>
      <c r="AP42" s="632"/>
      <c r="AQ42" s="632"/>
      <c r="AR42" s="632"/>
      <c r="AS42" s="632"/>
      <c r="AT42" s="633"/>
      <c r="AW42" s="374"/>
      <c r="AX42" s="489"/>
      <c r="AY42" s="489"/>
      <c r="AZ42" s="489"/>
      <c r="BA42" s="489"/>
      <c r="BB42" s="489"/>
      <c r="BC42" s="514"/>
      <c r="BD42" s="514"/>
      <c r="BE42" s="514"/>
      <c r="BF42" s="514"/>
      <c r="BG42" s="514"/>
      <c r="BH42" s="514"/>
      <c r="BI42" s="514"/>
      <c r="BJ42" s="514"/>
      <c r="BK42" s="514"/>
      <c r="BL42" s="514"/>
      <c r="BM42" s="514"/>
      <c r="BN42" s="514"/>
      <c r="BO42" s="514"/>
      <c r="BP42" s="514"/>
      <c r="BQ42" s="514"/>
      <c r="BR42" s="514"/>
      <c r="BT42" s="493" t="s">
        <v>6522</v>
      </c>
      <c r="BU42" s="493"/>
      <c r="BV42" s="493"/>
      <c r="BW42" s="493" t="s">
        <v>6523</v>
      </c>
      <c r="BX42" s="493"/>
      <c r="BY42" s="493"/>
      <c r="BZ42" s="493" t="s">
        <v>6524</v>
      </c>
      <c r="CA42" s="493"/>
      <c r="CB42" s="493"/>
      <c r="CC42" s="493"/>
      <c r="CD42" s="493" t="s">
        <v>6525</v>
      </c>
      <c r="CE42" s="493"/>
      <c r="CF42" s="493"/>
      <c r="CG42" s="493"/>
      <c r="CH42" s="493"/>
      <c r="CI42" s="493"/>
      <c r="CJ42" s="493"/>
      <c r="CK42" s="493"/>
      <c r="CL42" s="493"/>
      <c r="CM42" s="493"/>
      <c r="CN42" s="493"/>
      <c r="CO42" s="493"/>
    </row>
    <row r="43" spans="1:93" ht="16.649999999999999" customHeight="1">
      <c r="A43" s="67"/>
      <c r="B43" s="444" t="s">
        <v>4020</v>
      </c>
      <c r="C43" s="553" t="s">
        <v>87</v>
      </c>
      <c r="D43" s="553"/>
      <c r="E43" s="553"/>
      <c r="F43" s="546"/>
      <c r="G43" s="546"/>
      <c r="H43" s="433" t="s">
        <v>49</v>
      </c>
      <c r="I43" s="554">
        <f>R14+F43+IF(B43="O",$S$3,(IF(B43="🅞",$S$3*2,IF($H$39="是",INT($S$3/2),0))))+X11</f>
        <v>0</v>
      </c>
      <c r="J43" s="554"/>
      <c r="K43" s="43"/>
      <c r="L43" s="605"/>
      <c r="M43" s="605"/>
      <c r="N43" s="605"/>
      <c r="O43" s="605"/>
      <c r="P43" s="442"/>
      <c r="Q43" s="433" t="s">
        <v>49</v>
      </c>
      <c r="R43" s="647"/>
      <c r="S43" s="648"/>
      <c r="T43" s="488"/>
      <c r="U43" s="609"/>
      <c r="V43" s="674"/>
      <c r="W43" s="675"/>
      <c r="X43" s="629"/>
      <c r="Y43" s="629"/>
      <c r="Z43" s="629"/>
      <c r="AA43" s="629"/>
      <c r="AB43" s="629"/>
      <c r="AC43" s="629"/>
      <c r="AD43" s="629"/>
      <c r="AE43" s="629"/>
      <c r="AF43" s="629"/>
      <c r="AG43" s="629"/>
      <c r="AH43" s="629"/>
      <c r="AI43" s="629"/>
      <c r="AJ43" s="629"/>
      <c r="AK43" s="629"/>
      <c r="AL43" s="629"/>
      <c r="AM43" s="629"/>
      <c r="AN43" s="629"/>
      <c r="AO43" s="629"/>
      <c r="AP43" s="629"/>
      <c r="AQ43" s="629"/>
      <c r="AR43" s="629"/>
      <c r="AS43" s="629"/>
      <c r="AT43" s="630"/>
      <c r="AW43" s="373"/>
      <c r="AX43" s="516"/>
      <c r="AY43" s="516"/>
      <c r="AZ43" s="516"/>
      <c r="BA43" s="516"/>
      <c r="BB43" s="516"/>
      <c r="BC43" s="515"/>
      <c r="BD43" s="515"/>
      <c r="BE43" s="515"/>
      <c r="BF43" s="515"/>
      <c r="BG43" s="515"/>
      <c r="BH43" s="515"/>
      <c r="BI43" s="515"/>
      <c r="BJ43" s="515"/>
      <c r="BK43" s="515"/>
      <c r="BL43" s="515"/>
      <c r="BM43" s="515"/>
      <c r="BN43" s="515"/>
      <c r="BO43" s="515"/>
      <c r="BP43" s="515"/>
      <c r="BQ43" s="515"/>
      <c r="BR43" s="515"/>
      <c r="BT43" s="507" t="str">
        <f>IFERROR(VLOOKUP($BX$41,魔宠!$A$3:$AD$21,2,FALSE),"")</f>
        <v/>
      </c>
      <c r="BU43" s="508"/>
      <c r="BV43" s="509"/>
      <c r="BW43" s="507" t="str">
        <f>IFERROR(VLOOKUP($BX$41,魔宠!$A$3:$AD$21,3,FALSE),"")</f>
        <v/>
      </c>
      <c r="BX43" s="508"/>
      <c r="BY43" s="509"/>
      <c r="BZ43" s="507" t="str">
        <f>IFERROR(VLOOKUP($BX$41,魔宠!$A$3:$AD$21,4,FALSE),"")</f>
        <v/>
      </c>
      <c r="CA43" s="510"/>
      <c r="CB43" s="508"/>
      <c r="CC43" s="509"/>
      <c r="CD43" s="511" t="str">
        <f>IFERROR(VLOOKUP($BX$41,魔宠!$A$3:$AD$21,9,FALSE),"")</f>
        <v/>
      </c>
      <c r="CE43" s="512"/>
      <c r="CF43" s="512"/>
      <c r="CG43" s="512"/>
      <c r="CH43" s="512"/>
      <c r="CI43" s="512"/>
      <c r="CJ43" s="512"/>
      <c r="CK43" s="512"/>
      <c r="CL43" s="512"/>
      <c r="CM43" s="512"/>
      <c r="CN43" s="512"/>
      <c r="CO43" s="513"/>
    </row>
    <row r="44" spans="1:93" ht="16.649999999999999" customHeight="1">
      <c r="A44" s="67"/>
      <c r="B44" s="444" t="s">
        <v>4020</v>
      </c>
      <c r="C44" s="553" t="s">
        <v>89</v>
      </c>
      <c r="D44" s="553"/>
      <c r="E44" s="553"/>
      <c r="F44" s="546"/>
      <c r="G44" s="546"/>
      <c r="H44" s="433" t="s">
        <v>49</v>
      </c>
      <c r="I44" s="554">
        <f>R14+F44+IF(B44="O",$S$3,(IF(B44="🅞",$S$3*2,IF($H$39="是",INT($S$3/2),0))))+X11</f>
        <v>0</v>
      </c>
      <c r="J44" s="554"/>
      <c r="K44" s="43"/>
      <c r="L44" s="606"/>
      <c r="M44" s="606"/>
      <c r="N44" s="606"/>
      <c r="O44" s="606"/>
      <c r="P44" s="442"/>
      <c r="Q44" s="433" t="s">
        <v>49</v>
      </c>
      <c r="R44" s="660"/>
      <c r="S44" s="661"/>
      <c r="T44" s="484"/>
      <c r="U44" s="546"/>
      <c r="V44" s="672"/>
      <c r="W44" s="673"/>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3"/>
      <c r="AW44" s="374"/>
      <c r="AX44" s="489"/>
      <c r="AY44" s="489"/>
      <c r="AZ44" s="489"/>
      <c r="BA44" s="489"/>
      <c r="BB44" s="489"/>
      <c r="BC44" s="514"/>
      <c r="BD44" s="514"/>
      <c r="BE44" s="514"/>
      <c r="BF44" s="514"/>
      <c r="BG44" s="514"/>
      <c r="BH44" s="514"/>
      <c r="BI44" s="514"/>
      <c r="BJ44" s="514"/>
      <c r="BK44" s="514"/>
      <c r="BL44" s="514"/>
      <c r="BM44" s="514"/>
      <c r="BN44" s="514"/>
      <c r="BO44" s="514"/>
      <c r="BP44" s="514"/>
      <c r="BQ44" s="514"/>
      <c r="BR44" s="514"/>
      <c r="BT44" s="493" t="s">
        <v>5933</v>
      </c>
      <c r="BU44" s="493"/>
      <c r="BV44" s="493" t="s">
        <v>6526</v>
      </c>
      <c r="BW44" s="493"/>
      <c r="BX44" s="493" t="s">
        <v>6527</v>
      </c>
      <c r="BY44" s="493"/>
      <c r="CB44" s="493" t="s">
        <v>6468</v>
      </c>
      <c r="CC44" s="493"/>
      <c r="CD44" s="493" t="s">
        <v>6526</v>
      </c>
      <c r="CE44" s="493"/>
      <c r="CF44" s="493" t="s">
        <v>6527</v>
      </c>
      <c r="CG44" s="493"/>
      <c r="CJ44" s="493" t="s">
        <v>6528</v>
      </c>
      <c r="CK44" s="493"/>
      <c r="CL44" s="493" t="s">
        <v>6526</v>
      </c>
      <c r="CM44" s="493"/>
      <c r="CN44" s="493" t="s">
        <v>6527</v>
      </c>
      <c r="CO44" s="493"/>
    </row>
    <row r="45" spans="1:93" ht="16.649999999999999" customHeight="1">
      <c r="A45" s="67"/>
      <c r="B45" s="444" t="s">
        <v>4020</v>
      </c>
      <c r="C45" s="553" t="s">
        <v>91</v>
      </c>
      <c r="D45" s="553"/>
      <c r="E45" s="553"/>
      <c r="F45" s="546"/>
      <c r="G45" s="546"/>
      <c r="H45" s="433" t="s">
        <v>49</v>
      </c>
      <c r="I45" s="554">
        <f>R14+F45+IF(B45="O",$S$3,(IF(B45="🅞",$S$3*2,IF($H$39="是",INT($S$3/2),0))))+X11</f>
        <v>0</v>
      </c>
      <c r="J45" s="554"/>
      <c r="K45" s="43"/>
      <c r="L45" s="605"/>
      <c r="M45" s="605"/>
      <c r="N45" s="605"/>
      <c r="O45" s="605"/>
      <c r="P45" s="442"/>
      <c r="Q45" s="433" t="s">
        <v>49</v>
      </c>
      <c r="R45" s="647"/>
      <c r="S45" s="648"/>
      <c r="T45" s="488"/>
      <c r="U45" s="609"/>
      <c r="V45" s="674"/>
      <c r="W45" s="675"/>
      <c r="X45" s="629"/>
      <c r="Y45" s="629"/>
      <c r="Z45" s="629"/>
      <c r="AA45" s="629"/>
      <c r="AB45" s="629"/>
      <c r="AC45" s="629"/>
      <c r="AD45" s="629"/>
      <c r="AE45" s="629"/>
      <c r="AF45" s="629"/>
      <c r="AG45" s="629"/>
      <c r="AH45" s="629"/>
      <c r="AI45" s="629"/>
      <c r="AJ45" s="629"/>
      <c r="AK45" s="629"/>
      <c r="AL45" s="629"/>
      <c r="AM45" s="629"/>
      <c r="AN45" s="629"/>
      <c r="AO45" s="629"/>
      <c r="AP45" s="629"/>
      <c r="AQ45" s="629"/>
      <c r="AR45" s="629"/>
      <c r="AS45" s="629"/>
      <c r="AT45" s="630"/>
      <c r="AW45" s="373"/>
      <c r="AX45" s="516"/>
      <c r="AY45" s="516"/>
      <c r="AZ45" s="516"/>
      <c r="BA45" s="516"/>
      <c r="BB45" s="516"/>
      <c r="BC45" s="515"/>
      <c r="BD45" s="515"/>
      <c r="BE45" s="515"/>
      <c r="BF45" s="515"/>
      <c r="BG45" s="515"/>
      <c r="BH45" s="515"/>
      <c r="BI45" s="515"/>
      <c r="BJ45" s="515"/>
      <c r="BK45" s="515"/>
      <c r="BL45" s="515"/>
      <c r="BM45" s="515"/>
      <c r="BN45" s="515"/>
      <c r="BO45" s="515"/>
      <c r="BP45" s="515"/>
      <c r="BQ45" s="515"/>
      <c r="BR45" s="515"/>
      <c r="BT45" s="491" t="str">
        <f>IFERROR(VLOOKUP($BX$41,魔宠!$A$3:$AD$21,10,FALSE),"")</f>
        <v/>
      </c>
      <c r="BU45" s="491"/>
      <c r="BV45" s="523" t="str">
        <f>IFERROR(VLOOKUP($BX$41,魔宠!$A$3:$AD$21,11,FALSE),"")</f>
        <v/>
      </c>
      <c r="BW45" s="524"/>
      <c r="BX45" s="490" t="str">
        <f>IFERROR(VLOOKUP($BX$41,魔宠!$A$3:$AD$21,12,FALSE),"")</f>
        <v/>
      </c>
      <c r="BY45" s="490"/>
      <c r="CB45" s="491" t="str">
        <f>IFERROR(VLOOKUP($BX$41,魔宠!$A$3:$AD$21,13,FALSE),"")</f>
        <v/>
      </c>
      <c r="CC45" s="491"/>
      <c r="CD45" s="492" t="str">
        <f>IFERROR(VLOOKUP($BX$41,魔宠!$A$3:$AD$21,14,FALSE),"")</f>
        <v/>
      </c>
      <c r="CE45" s="492"/>
      <c r="CF45" s="490" t="str">
        <f>IFERROR(VLOOKUP($BX$41,魔宠!$A$3:$AD$21,15,FALSE),"")</f>
        <v/>
      </c>
      <c r="CG45" s="490"/>
      <c r="CJ45" s="491" t="str">
        <f>IFERROR(VLOOKUP($BX$41,魔宠!$A$3:$AD$21,16,FALSE),"")</f>
        <v/>
      </c>
      <c r="CK45" s="491"/>
      <c r="CL45" s="492" t="str">
        <f>IFERROR(VLOOKUP($BX$41,魔宠!$A$3:$AD$21,17,FALSE),"")</f>
        <v/>
      </c>
      <c r="CM45" s="492"/>
      <c r="CN45" s="490" t="str">
        <f>IFERROR(VLOOKUP($BX$41,魔宠!$A$3:$AD$21,18,FALSE),"")</f>
        <v/>
      </c>
      <c r="CO45" s="490"/>
    </row>
    <row r="46" spans="1:93" ht="16.649999999999999" customHeight="1">
      <c r="A46" s="67"/>
      <c r="B46" s="528" t="s">
        <v>6469</v>
      </c>
      <c r="C46" s="528"/>
      <c r="D46" s="528"/>
      <c r="E46" s="528"/>
      <c r="F46" s="528"/>
      <c r="G46" s="528"/>
      <c r="H46" s="44"/>
      <c r="I46" s="47"/>
      <c r="J46" s="47"/>
      <c r="K46" s="43"/>
      <c r="L46" s="606"/>
      <c r="M46" s="606"/>
      <c r="N46" s="606"/>
      <c r="O46" s="606"/>
      <c r="P46" s="442"/>
      <c r="Q46" s="433" t="s">
        <v>49</v>
      </c>
      <c r="R46" s="660"/>
      <c r="S46" s="661"/>
      <c r="T46" s="484"/>
      <c r="U46" s="546"/>
      <c r="V46" s="672"/>
      <c r="W46" s="673"/>
      <c r="X46" s="632"/>
      <c r="Y46" s="632"/>
      <c r="Z46" s="632"/>
      <c r="AA46" s="632"/>
      <c r="AB46" s="632"/>
      <c r="AC46" s="632"/>
      <c r="AD46" s="632"/>
      <c r="AE46" s="632"/>
      <c r="AF46" s="632"/>
      <c r="AG46" s="632"/>
      <c r="AH46" s="632"/>
      <c r="AI46" s="632"/>
      <c r="AJ46" s="632"/>
      <c r="AK46" s="632"/>
      <c r="AL46" s="632"/>
      <c r="AM46" s="632"/>
      <c r="AN46" s="632"/>
      <c r="AO46" s="632"/>
      <c r="AP46" s="632"/>
      <c r="AQ46" s="632"/>
      <c r="AR46" s="632"/>
      <c r="AS46" s="632"/>
      <c r="AT46" s="633"/>
      <c r="AW46" s="374"/>
      <c r="AX46" s="489"/>
      <c r="AY46" s="489"/>
      <c r="AZ46" s="489"/>
      <c r="BA46" s="489"/>
      <c r="BB46" s="489"/>
      <c r="BC46" s="514"/>
      <c r="BD46" s="514"/>
      <c r="BE46" s="514"/>
      <c r="BF46" s="514"/>
      <c r="BG46" s="514"/>
      <c r="BH46" s="514"/>
      <c r="BI46" s="514"/>
      <c r="BJ46" s="514"/>
      <c r="BK46" s="514"/>
      <c r="BL46" s="514"/>
      <c r="BM46" s="514"/>
      <c r="BN46" s="514"/>
      <c r="BO46" s="514"/>
      <c r="BP46" s="514"/>
      <c r="BQ46" s="514"/>
      <c r="BR46" s="514"/>
      <c r="BT46" s="493" t="s">
        <v>6469</v>
      </c>
      <c r="BU46" s="493"/>
      <c r="BV46" s="493" t="s">
        <v>6526</v>
      </c>
      <c r="BW46" s="493"/>
      <c r="BX46" s="493" t="s">
        <v>6527</v>
      </c>
      <c r="BY46" s="493"/>
      <c r="CB46" s="493" t="s">
        <v>6470</v>
      </c>
      <c r="CC46" s="493"/>
      <c r="CD46" s="493" t="s">
        <v>6526</v>
      </c>
      <c r="CE46" s="493"/>
      <c r="CF46" s="493" t="s">
        <v>6527</v>
      </c>
      <c r="CG46" s="493"/>
      <c r="CJ46" s="493" t="s">
        <v>6471</v>
      </c>
      <c r="CK46" s="493"/>
      <c r="CL46" s="493" t="s">
        <v>6526</v>
      </c>
      <c r="CM46" s="493"/>
      <c r="CN46" s="493" t="s">
        <v>6527</v>
      </c>
      <c r="CO46" s="493"/>
    </row>
    <row r="47" spans="1:93" ht="16.649999999999999" customHeight="1">
      <c r="A47" s="67"/>
      <c r="B47" s="444" t="s">
        <v>4020</v>
      </c>
      <c r="C47" s="553" t="s">
        <v>94</v>
      </c>
      <c r="D47" s="553"/>
      <c r="E47" s="553"/>
      <c r="F47" s="546"/>
      <c r="G47" s="546"/>
      <c r="H47" s="433" t="s">
        <v>49</v>
      </c>
      <c r="I47" s="554">
        <f>$R$16+F47+IF(B47="O",$S$3,(IF(B47="🅞",$S$3*2,IF($H$39="是",INT($S$3/2),0))))+X11</f>
        <v>0</v>
      </c>
      <c r="J47" s="554"/>
      <c r="K47" s="43"/>
      <c r="L47" s="605"/>
      <c r="M47" s="605"/>
      <c r="N47" s="605"/>
      <c r="O47" s="605"/>
      <c r="P47" s="442"/>
      <c r="Q47" s="433" t="s">
        <v>49</v>
      </c>
      <c r="R47" s="647"/>
      <c r="S47" s="648"/>
      <c r="T47" s="488"/>
      <c r="U47" s="609"/>
      <c r="V47" s="674"/>
      <c r="W47" s="675"/>
      <c r="X47" s="629"/>
      <c r="Y47" s="629"/>
      <c r="Z47" s="629"/>
      <c r="AA47" s="629"/>
      <c r="AB47" s="629"/>
      <c r="AC47" s="629"/>
      <c r="AD47" s="629"/>
      <c r="AE47" s="629"/>
      <c r="AF47" s="629"/>
      <c r="AG47" s="629"/>
      <c r="AH47" s="629"/>
      <c r="AI47" s="629"/>
      <c r="AJ47" s="629"/>
      <c r="AK47" s="629"/>
      <c r="AL47" s="629"/>
      <c r="AM47" s="629"/>
      <c r="AN47" s="629"/>
      <c r="AO47" s="629"/>
      <c r="AP47" s="629"/>
      <c r="AQ47" s="629"/>
      <c r="AR47" s="629"/>
      <c r="AS47" s="629"/>
      <c r="AT47" s="630"/>
      <c r="AW47" s="373"/>
      <c r="AX47" s="516"/>
      <c r="AY47" s="516"/>
      <c r="AZ47" s="516"/>
      <c r="BA47" s="516"/>
      <c r="BB47" s="516"/>
      <c r="BC47" s="515"/>
      <c r="BD47" s="515"/>
      <c r="BE47" s="515"/>
      <c r="BF47" s="515"/>
      <c r="BG47" s="515"/>
      <c r="BH47" s="515"/>
      <c r="BI47" s="515"/>
      <c r="BJ47" s="515"/>
      <c r="BK47" s="515"/>
      <c r="BL47" s="515"/>
      <c r="BM47" s="515"/>
      <c r="BN47" s="515"/>
      <c r="BO47" s="515"/>
      <c r="BP47" s="515"/>
      <c r="BQ47" s="515"/>
      <c r="BR47" s="515"/>
      <c r="BT47" s="491" t="str">
        <f>IFERROR(VLOOKUP($BX$41,魔宠!$A$3:$AD$21,19,FALSE),"")</f>
        <v/>
      </c>
      <c r="BU47" s="491"/>
      <c r="BV47" s="492" t="str">
        <f>IFERROR(VLOOKUP($BX$41,魔宠!$A$3:$AD$21,20,FALSE),"")</f>
        <v/>
      </c>
      <c r="BW47" s="492"/>
      <c r="BX47" s="490" t="str">
        <f>IFERROR(VLOOKUP($BX$41,魔宠!$A$3:$AD$21,21,FALSE),"")</f>
        <v/>
      </c>
      <c r="BY47" s="490"/>
      <c r="CB47" s="491" t="str">
        <f>IFERROR(VLOOKUP($BX$41,魔宠!$A$3:$AD$21,22,FALSE),"")</f>
        <v/>
      </c>
      <c r="CC47" s="491"/>
      <c r="CD47" s="492" t="str">
        <f>IFERROR(VLOOKUP($BX$41,魔宠!$A$3:$AD$21,23,FALSE),"")</f>
        <v/>
      </c>
      <c r="CE47" s="492"/>
      <c r="CF47" s="490" t="str">
        <f>IFERROR(VLOOKUP($BX$41,魔宠!$A$3:$AD$21,24,FALSE),"")</f>
        <v/>
      </c>
      <c r="CG47" s="490"/>
      <c r="CJ47" s="491" t="str">
        <f>IFERROR(VLOOKUP($BX$41,魔宠!$A$3:$AD$21,25,FALSE),"")</f>
        <v/>
      </c>
      <c r="CK47" s="491"/>
      <c r="CL47" s="492" t="str">
        <f>IFERROR(VLOOKUP($BX$41,魔宠!$A$3:$AD$21,26,FALSE),"")</f>
        <v/>
      </c>
      <c r="CM47" s="492"/>
      <c r="CN47" s="490" t="str">
        <f>IFERROR(VLOOKUP($BX$41,魔宠!$A$3:$AD$21,27,FALSE),"")</f>
        <v/>
      </c>
      <c r="CO47" s="490"/>
    </row>
    <row r="48" spans="1:93" ht="16.649999999999999" customHeight="1">
      <c r="A48" s="67"/>
      <c r="B48" s="444" t="s">
        <v>4020</v>
      </c>
      <c r="C48" s="553" t="s">
        <v>5275</v>
      </c>
      <c r="D48" s="553"/>
      <c r="E48" s="553"/>
      <c r="F48" s="546"/>
      <c r="G48" s="546"/>
      <c r="H48" s="433" t="s">
        <v>49</v>
      </c>
      <c r="I48" s="554">
        <f>$R$16+F48+IF(B48="O",$S$3,(IF(B48="🅞",$S$3*2,IF($H$39="是",INT($S$3/2),0))))+X11</f>
        <v>0</v>
      </c>
      <c r="J48" s="554"/>
      <c r="L48" s="606"/>
      <c r="M48" s="606"/>
      <c r="N48" s="606"/>
      <c r="O48" s="606"/>
      <c r="P48" s="442"/>
      <c r="Q48" s="433" t="s">
        <v>49</v>
      </c>
      <c r="R48" s="660"/>
      <c r="S48" s="661"/>
      <c r="T48" s="484"/>
      <c r="U48" s="546"/>
      <c r="V48" s="672"/>
      <c r="W48" s="673"/>
      <c r="X48" s="632"/>
      <c r="Y48" s="632"/>
      <c r="Z48" s="632"/>
      <c r="AA48" s="632"/>
      <c r="AB48" s="632"/>
      <c r="AC48" s="632"/>
      <c r="AD48" s="632"/>
      <c r="AE48" s="632"/>
      <c r="AF48" s="632"/>
      <c r="AG48" s="632"/>
      <c r="AH48" s="632"/>
      <c r="AI48" s="632"/>
      <c r="AJ48" s="632"/>
      <c r="AK48" s="632"/>
      <c r="AL48" s="632"/>
      <c r="AM48" s="632"/>
      <c r="AN48" s="632"/>
      <c r="AO48" s="632"/>
      <c r="AP48" s="632"/>
      <c r="AQ48" s="632"/>
      <c r="AR48" s="632"/>
      <c r="AS48" s="632"/>
      <c r="AT48" s="633"/>
      <c r="AW48" s="374"/>
      <c r="AX48" s="489"/>
      <c r="AY48" s="489"/>
      <c r="AZ48" s="489"/>
      <c r="BA48" s="489"/>
      <c r="BB48" s="489"/>
      <c r="BC48" s="514"/>
      <c r="BD48" s="514"/>
      <c r="BE48" s="514"/>
      <c r="BF48" s="514"/>
      <c r="BG48" s="514"/>
      <c r="BH48" s="514"/>
      <c r="BI48" s="514"/>
      <c r="BJ48" s="514"/>
      <c r="BK48" s="514"/>
      <c r="BL48" s="514"/>
      <c r="BM48" s="514"/>
      <c r="BN48" s="514"/>
      <c r="BO48" s="514"/>
      <c r="BP48" s="514"/>
      <c r="BQ48" s="514"/>
      <c r="BR48" s="514"/>
      <c r="BT48" s="493" t="s">
        <v>6529</v>
      </c>
      <c r="BU48" s="493"/>
      <c r="BV48" s="493"/>
      <c r="BW48" s="493"/>
      <c r="BX48" s="493"/>
      <c r="BY48" s="493"/>
      <c r="BZ48" s="493"/>
      <c r="CA48" s="493"/>
      <c r="CB48" s="493"/>
      <c r="CC48" s="493"/>
      <c r="CD48" s="493"/>
      <c r="CE48" s="493"/>
      <c r="CF48" s="493"/>
      <c r="CG48" s="493"/>
      <c r="CH48" s="493"/>
      <c r="CI48" s="493"/>
      <c r="CJ48" s="493"/>
      <c r="CK48" s="493"/>
      <c r="CL48" s="493"/>
      <c r="CM48" s="493"/>
      <c r="CN48" s="493"/>
      <c r="CO48" s="493"/>
    </row>
    <row r="49" spans="1:93" ht="16.649999999999999" customHeight="1">
      <c r="A49" s="67"/>
      <c r="B49" s="444" t="s">
        <v>4020</v>
      </c>
      <c r="C49" s="553" t="s">
        <v>97</v>
      </c>
      <c r="D49" s="553"/>
      <c r="E49" s="553"/>
      <c r="F49" s="546"/>
      <c r="G49" s="546"/>
      <c r="H49" s="433" t="s">
        <v>49</v>
      </c>
      <c r="I49" s="554">
        <f>$R$16+F49+IF(B49="O",$S$3,(IF(B49="🅞",$S$3*2,IF($H$39="是",INT($S$3/2),0))))+X11</f>
        <v>0</v>
      </c>
      <c r="J49" s="554"/>
      <c r="L49" s="605"/>
      <c r="M49" s="605"/>
      <c r="N49" s="605"/>
      <c r="O49" s="605"/>
      <c r="P49" s="442"/>
      <c r="Q49" s="433" t="s">
        <v>49</v>
      </c>
      <c r="R49" s="647"/>
      <c r="S49" s="648"/>
      <c r="T49" s="488"/>
      <c r="U49" s="609"/>
      <c r="V49" s="674"/>
      <c r="W49" s="675"/>
      <c r="X49" s="629"/>
      <c r="Y49" s="629"/>
      <c r="Z49" s="629"/>
      <c r="AA49" s="629"/>
      <c r="AB49" s="629"/>
      <c r="AC49" s="629"/>
      <c r="AD49" s="629"/>
      <c r="AE49" s="629"/>
      <c r="AF49" s="629"/>
      <c r="AG49" s="629"/>
      <c r="AH49" s="629"/>
      <c r="AI49" s="629"/>
      <c r="AJ49" s="629"/>
      <c r="AK49" s="629"/>
      <c r="AL49" s="629"/>
      <c r="AM49" s="629"/>
      <c r="AN49" s="629"/>
      <c r="AO49" s="629"/>
      <c r="AP49" s="629"/>
      <c r="AQ49" s="629"/>
      <c r="AR49" s="629"/>
      <c r="AS49" s="629"/>
      <c r="AT49" s="630"/>
      <c r="AW49" s="373"/>
      <c r="AX49" s="516"/>
      <c r="AY49" s="516"/>
      <c r="AZ49" s="516"/>
      <c r="BA49" s="516"/>
      <c r="BB49" s="516"/>
      <c r="BC49" s="515"/>
      <c r="BD49" s="515"/>
      <c r="BE49" s="515"/>
      <c r="BF49" s="515"/>
      <c r="BG49" s="515"/>
      <c r="BH49" s="515"/>
      <c r="BI49" s="515"/>
      <c r="BJ49" s="515"/>
      <c r="BK49" s="515"/>
      <c r="BL49" s="515"/>
      <c r="BM49" s="515"/>
      <c r="BN49" s="515"/>
      <c r="BO49" s="515"/>
      <c r="BP49" s="515"/>
      <c r="BQ49" s="515"/>
      <c r="BR49" s="515"/>
      <c r="BT49" s="497" t="str">
        <f>IFERROR(VLOOKUP($BX$41,魔宠!$A$3:$AD$21,28,FALSE),"")</f>
        <v/>
      </c>
      <c r="BU49" s="498"/>
      <c r="BV49" s="498"/>
      <c r="BW49" s="498"/>
      <c r="BX49" s="498"/>
      <c r="BY49" s="498"/>
      <c r="BZ49" s="498"/>
      <c r="CA49" s="498"/>
      <c r="CB49" s="498"/>
      <c r="CC49" s="498"/>
      <c r="CD49" s="498"/>
      <c r="CE49" s="498"/>
      <c r="CF49" s="498"/>
      <c r="CG49" s="498"/>
      <c r="CH49" s="498"/>
      <c r="CI49" s="498"/>
      <c r="CJ49" s="498"/>
      <c r="CK49" s="498"/>
      <c r="CL49" s="498"/>
      <c r="CM49" s="498"/>
      <c r="CN49" s="498"/>
      <c r="CO49" s="499"/>
    </row>
    <row r="50" spans="1:93" ht="16.649999999999999" customHeight="1">
      <c r="A50" s="67"/>
      <c r="B50" s="444" t="s">
        <v>4020</v>
      </c>
      <c r="C50" s="553" t="s">
        <v>99</v>
      </c>
      <c r="D50" s="553"/>
      <c r="E50" s="553"/>
      <c r="F50" s="546"/>
      <c r="G50" s="546"/>
      <c r="H50" s="433" t="s">
        <v>49</v>
      </c>
      <c r="I50" s="554">
        <f>$R$16+F50+IF(B50="O",$S$3,(IF(B50="🅞",$S$3*2,IF($H$39="是",INT($S$3/2),0))))+X11</f>
        <v>0</v>
      </c>
      <c r="J50" s="554"/>
      <c r="L50" s="606"/>
      <c r="M50" s="606"/>
      <c r="N50" s="606"/>
      <c r="O50" s="606"/>
      <c r="P50" s="442"/>
      <c r="Q50" s="433" t="s">
        <v>49</v>
      </c>
      <c r="R50" s="660"/>
      <c r="S50" s="661"/>
      <c r="T50" s="484"/>
      <c r="U50" s="546"/>
      <c r="V50" s="672"/>
      <c r="W50" s="673"/>
      <c r="X50" s="632"/>
      <c r="Y50" s="632"/>
      <c r="Z50" s="632"/>
      <c r="AA50" s="632"/>
      <c r="AB50" s="632"/>
      <c r="AC50" s="632"/>
      <c r="AD50" s="632"/>
      <c r="AE50" s="632"/>
      <c r="AF50" s="632"/>
      <c r="AG50" s="632"/>
      <c r="AH50" s="632"/>
      <c r="AI50" s="632"/>
      <c r="AJ50" s="632"/>
      <c r="AK50" s="632"/>
      <c r="AL50" s="632"/>
      <c r="AM50" s="632"/>
      <c r="AN50" s="632"/>
      <c r="AO50" s="632"/>
      <c r="AP50" s="632"/>
      <c r="AQ50" s="632"/>
      <c r="AR50" s="632"/>
      <c r="AS50" s="632"/>
      <c r="AT50" s="633"/>
      <c r="AW50" s="374"/>
      <c r="AX50" s="489"/>
      <c r="AY50" s="489"/>
      <c r="AZ50" s="489"/>
      <c r="BA50" s="489"/>
      <c r="BB50" s="489"/>
      <c r="BC50" s="514"/>
      <c r="BD50" s="514"/>
      <c r="BE50" s="514"/>
      <c r="BF50" s="514"/>
      <c r="BG50" s="514"/>
      <c r="BH50" s="514"/>
      <c r="BI50" s="514"/>
      <c r="BJ50" s="514"/>
      <c r="BK50" s="514"/>
      <c r="BL50" s="514"/>
      <c r="BM50" s="514"/>
      <c r="BN50" s="514"/>
      <c r="BO50" s="514"/>
      <c r="BP50" s="514"/>
      <c r="BQ50" s="514"/>
      <c r="BR50" s="514"/>
      <c r="BT50" s="500"/>
      <c r="BU50" s="501"/>
      <c r="BV50" s="501"/>
      <c r="BW50" s="501"/>
      <c r="BX50" s="501"/>
      <c r="BY50" s="501"/>
      <c r="BZ50" s="501"/>
      <c r="CA50" s="501"/>
      <c r="CB50" s="501"/>
      <c r="CC50" s="501"/>
      <c r="CD50" s="501"/>
      <c r="CE50" s="501"/>
      <c r="CF50" s="501"/>
      <c r="CG50" s="501"/>
      <c r="CH50" s="501"/>
      <c r="CI50" s="501"/>
      <c r="CJ50" s="501"/>
      <c r="CK50" s="501"/>
      <c r="CL50" s="501"/>
      <c r="CM50" s="501"/>
      <c r="CN50" s="501"/>
      <c r="CO50" s="502"/>
    </row>
    <row r="51" spans="1:93" ht="16.649999999999999" customHeight="1">
      <c r="A51" s="67"/>
      <c r="B51" s="444" t="s">
        <v>4020</v>
      </c>
      <c r="C51" s="553" t="s">
        <v>100</v>
      </c>
      <c r="D51" s="553"/>
      <c r="E51" s="553"/>
      <c r="F51" s="546"/>
      <c r="G51" s="546"/>
      <c r="H51" s="433" t="s">
        <v>49</v>
      </c>
      <c r="I51" s="554">
        <f>$R$16+F51+IF(B51="O",$S$3,(IF(B51="🅞",$S$3*2,IF($H$39="是",INT($S$3/2),0))))+X11</f>
        <v>0</v>
      </c>
      <c r="J51" s="554"/>
      <c r="L51" s="605"/>
      <c r="M51" s="605"/>
      <c r="N51" s="605"/>
      <c r="O51" s="649"/>
      <c r="P51" s="442"/>
      <c r="Q51" s="433" t="s">
        <v>49</v>
      </c>
      <c r="R51" s="647"/>
      <c r="S51" s="648"/>
      <c r="T51" s="488"/>
      <c r="U51" s="609"/>
      <c r="V51" s="674"/>
      <c r="W51" s="675"/>
      <c r="X51" s="629"/>
      <c r="Y51" s="629"/>
      <c r="Z51" s="629"/>
      <c r="AA51" s="629"/>
      <c r="AB51" s="629"/>
      <c r="AC51" s="629"/>
      <c r="AD51" s="629"/>
      <c r="AE51" s="629"/>
      <c r="AF51" s="629"/>
      <c r="AG51" s="629"/>
      <c r="AH51" s="629"/>
      <c r="AI51" s="629"/>
      <c r="AJ51" s="629"/>
      <c r="AK51" s="629"/>
      <c r="AL51" s="629"/>
      <c r="AM51" s="629"/>
      <c r="AN51" s="629"/>
      <c r="AO51" s="629"/>
      <c r="AP51" s="629"/>
      <c r="AQ51" s="629"/>
      <c r="AR51" s="629"/>
      <c r="AS51" s="629"/>
      <c r="AT51" s="630"/>
      <c r="AW51" s="373"/>
      <c r="AX51" s="516"/>
      <c r="AY51" s="516"/>
      <c r="AZ51" s="516"/>
      <c r="BA51" s="516"/>
      <c r="BB51" s="516"/>
      <c r="BC51" s="515"/>
      <c r="BD51" s="515"/>
      <c r="BE51" s="515"/>
      <c r="BF51" s="515"/>
      <c r="BG51" s="515"/>
      <c r="BH51" s="515"/>
      <c r="BI51" s="515"/>
      <c r="BJ51" s="515"/>
      <c r="BK51" s="515"/>
      <c r="BL51" s="515"/>
      <c r="BM51" s="515"/>
      <c r="BN51" s="515"/>
      <c r="BO51" s="515"/>
      <c r="BP51" s="515"/>
      <c r="BQ51" s="515"/>
      <c r="BR51" s="515"/>
      <c r="BT51" s="500"/>
      <c r="BU51" s="501"/>
      <c r="BV51" s="501"/>
      <c r="BW51" s="501"/>
      <c r="BX51" s="501"/>
      <c r="BY51" s="501"/>
      <c r="BZ51" s="501"/>
      <c r="CA51" s="501"/>
      <c r="CB51" s="501"/>
      <c r="CC51" s="501"/>
      <c r="CD51" s="501"/>
      <c r="CE51" s="501"/>
      <c r="CF51" s="501"/>
      <c r="CG51" s="501"/>
      <c r="CH51" s="501"/>
      <c r="CI51" s="501"/>
      <c r="CJ51" s="501"/>
      <c r="CK51" s="501"/>
      <c r="CL51" s="501"/>
      <c r="CM51" s="501"/>
      <c r="CN51" s="501"/>
      <c r="CO51" s="502"/>
    </row>
    <row r="52" spans="1:93" ht="16.649999999999999" customHeight="1">
      <c r="A52" s="67"/>
      <c r="B52" s="481" t="s">
        <v>6470</v>
      </c>
      <c r="C52" s="481"/>
      <c r="D52" s="481"/>
      <c r="E52" s="481"/>
      <c r="F52" s="481"/>
      <c r="G52" s="481"/>
      <c r="H52" s="44"/>
      <c r="I52" s="47"/>
      <c r="J52" s="47"/>
      <c r="L52" s="506" t="s">
        <v>6473</v>
      </c>
      <c r="M52" s="506"/>
      <c r="N52" s="506"/>
      <c r="O52" s="6"/>
      <c r="Q52" s="3"/>
      <c r="R52" s="481" t="s">
        <v>6654</v>
      </c>
      <c r="S52" s="481"/>
      <c r="T52" s="481"/>
      <c r="U52" s="480" t="s">
        <v>6472</v>
      </c>
      <c r="V52" s="480"/>
      <c r="W52" s="480"/>
      <c r="X52" s="480"/>
      <c r="Y52" s="480"/>
      <c r="Z52" s="480"/>
      <c r="AA52" s="480"/>
      <c r="AB52" s="480"/>
      <c r="AC52" s="480"/>
      <c r="AD52" s="480"/>
      <c r="AE52" s="480"/>
      <c r="AF52" s="480"/>
      <c r="AG52" s="480"/>
      <c r="AH52" s="480"/>
      <c r="AI52" s="480"/>
      <c r="AJ52" s="480"/>
      <c r="AK52" s="480"/>
      <c r="AL52" s="480"/>
      <c r="AM52" s="480"/>
      <c r="AN52" s="480"/>
      <c r="AO52" s="480"/>
      <c r="AP52" s="481" t="s">
        <v>6077</v>
      </c>
      <c r="AQ52" s="481"/>
      <c r="AR52" s="481"/>
      <c r="AS52" s="481"/>
      <c r="AT52" s="481"/>
      <c r="AW52" s="374"/>
      <c r="AX52" s="489"/>
      <c r="AY52" s="489"/>
      <c r="AZ52" s="489"/>
      <c r="BA52" s="489"/>
      <c r="BB52" s="489"/>
      <c r="BC52" s="514"/>
      <c r="BD52" s="514"/>
      <c r="BE52" s="514"/>
      <c r="BF52" s="514"/>
      <c r="BG52" s="514"/>
      <c r="BH52" s="514"/>
      <c r="BI52" s="514"/>
      <c r="BJ52" s="514"/>
      <c r="BK52" s="514"/>
      <c r="BL52" s="514"/>
      <c r="BM52" s="514"/>
      <c r="BN52" s="514"/>
      <c r="BO52" s="514"/>
      <c r="BP52" s="514"/>
      <c r="BQ52" s="514"/>
      <c r="BR52" s="514"/>
      <c r="BT52" s="500"/>
      <c r="BU52" s="501"/>
      <c r="BV52" s="501"/>
      <c r="BW52" s="501"/>
      <c r="BX52" s="501"/>
      <c r="BY52" s="501"/>
      <c r="BZ52" s="501"/>
      <c r="CA52" s="501"/>
      <c r="CB52" s="501"/>
      <c r="CC52" s="501"/>
      <c r="CD52" s="501"/>
      <c r="CE52" s="501"/>
      <c r="CF52" s="501"/>
      <c r="CG52" s="501"/>
      <c r="CH52" s="501"/>
      <c r="CI52" s="501"/>
      <c r="CJ52" s="501"/>
      <c r="CK52" s="501"/>
      <c r="CL52" s="501"/>
      <c r="CM52" s="501"/>
      <c r="CN52" s="501"/>
      <c r="CO52" s="502"/>
    </row>
    <row r="53" spans="1:93" ht="16.649999999999999" customHeight="1">
      <c r="B53" s="444" t="s">
        <v>4020</v>
      </c>
      <c r="C53" s="553" t="s">
        <v>101</v>
      </c>
      <c r="D53" s="553"/>
      <c r="E53" s="553"/>
      <c r="F53" s="546"/>
      <c r="G53" s="546"/>
      <c r="H53" s="433" t="s">
        <v>49</v>
      </c>
      <c r="I53" s="554">
        <f>$R$17+F53+IF(B53="O",$S$3,(IF(B53="🅞",$S$3*2,IF($H$39="是",INT($S$3/2),0))))+X11</f>
        <v>0</v>
      </c>
      <c r="J53" s="554"/>
      <c r="L53" s="511"/>
      <c r="M53" s="512"/>
      <c r="N53" s="512"/>
      <c r="O53" s="512"/>
      <c r="P53" s="513"/>
      <c r="Q53" s="433" t="s">
        <v>49</v>
      </c>
      <c r="R53" s="660"/>
      <c r="S53" s="661"/>
      <c r="T53" s="484"/>
      <c r="U53" s="662"/>
      <c r="V53" s="663"/>
      <c r="W53" s="663"/>
      <c r="X53" s="663"/>
      <c r="Y53" s="663"/>
      <c r="Z53" s="663"/>
      <c r="AA53" s="663"/>
      <c r="AB53" s="663"/>
      <c r="AC53" s="663"/>
      <c r="AD53" s="663"/>
      <c r="AE53" s="663"/>
      <c r="AF53" s="663"/>
      <c r="AG53" s="663"/>
      <c r="AH53" s="663"/>
      <c r="AI53" s="663"/>
      <c r="AJ53" s="663"/>
      <c r="AK53" s="663"/>
      <c r="AL53" s="663"/>
      <c r="AM53" s="663"/>
      <c r="AN53" s="663"/>
      <c r="AO53" s="664"/>
      <c r="AP53" s="476"/>
      <c r="AQ53" s="477"/>
      <c r="AR53" s="428" t="s">
        <v>60</v>
      </c>
      <c r="AS53" s="478"/>
      <c r="AT53" s="668"/>
      <c r="AW53" s="373"/>
      <c r="AX53" s="516"/>
      <c r="AY53" s="516"/>
      <c r="AZ53" s="516"/>
      <c r="BA53" s="516"/>
      <c r="BB53" s="516"/>
      <c r="BC53" s="515"/>
      <c r="BD53" s="515"/>
      <c r="BE53" s="515"/>
      <c r="BF53" s="515"/>
      <c r="BG53" s="515"/>
      <c r="BH53" s="515"/>
      <c r="BI53" s="515"/>
      <c r="BJ53" s="515"/>
      <c r="BK53" s="515"/>
      <c r="BL53" s="515"/>
      <c r="BM53" s="515"/>
      <c r="BN53" s="515"/>
      <c r="BO53" s="515"/>
      <c r="BP53" s="515"/>
      <c r="BQ53" s="515"/>
      <c r="BR53" s="515"/>
      <c r="BT53" s="500"/>
      <c r="BU53" s="501"/>
      <c r="BV53" s="501"/>
      <c r="BW53" s="501"/>
      <c r="BX53" s="501"/>
      <c r="BY53" s="501"/>
      <c r="BZ53" s="501"/>
      <c r="CA53" s="501"/>
      <c r="CB53" s="501"/>
      <c r="CC53" s="501"/>
      <c r="CD53" s="501"/>
      <c r="CE53" s="501"/>
      <c r="CF53" s="501"/>
      <c r="CG53" s="501"/>
      <c r="CH53" s="501"/>
      <c r="CI53" s="501"/>
      <c r="CJ53" s="501"/>
      <c r="CK53" s="501"/>
      <c r="CL53" s="501"/>
      <c r="CM53" s="501"/>
      <c r="CN53" s="501"/>
      <c r="CO53" s="502"/>
    </row>
    <row r="54" spans="1:93" ht="16.649999999999999" customHeight="1">
      <c r="B54" s="444" t="s">
        <v>4020</v>
      </c>
      <c r="C54" s="553" t="s">
        <v>105</v>
      </c>
      <c r="D54" s="553"/>
      <c r="E54" s="553"/>
      <c r="F54" s="546"/>
      <c r="G54" s="546"/>
      <c r="H54" s="433" t="s">
        <v>49</v>
      </c>
      <c r="I54" s="554">
        <f>$R$17+F54+IF(B54="O",$S$3,(IF(B54="🅞",$S$3*2,IF($H$39="是",INT($S$3/2),0))))+X11</f>
        <v>0</v>
      </c>
      <c r="J54" s="554"/>
      <c r="L54" s="650"/>
      <c r="M54" s="651"/>
      <c r="N54" s="651"/>
      <c r="O54" s="651"/>
      <c r="P54" s="652"/>
      <c r="Q54" s="433" t="s">
        <v>49</v>
      </c>
      <c r="R54" s="647"/>
      <c r="S54" s="648"/>
      <c r="T54" s="488"/>
      <c r="U54" s="715"/>
      <c r="V54" s="716"/>
      <c r="W54" s="716"/>
      <c r="X54" s="716"/>
      <c r="Y54" s="716"/>
      <c r="Z54" s="716"/>
      <c r="AA54" s="716"/>
      <c r="AB54" s="716"/>
      <c r="AC54" s="716"/>
      <c r="AD54" s="716"/>
      <c r="AE54" s="716"/>
      <c r="AF54" s="716"/>
      <c r="AG54" s="716"/>
      <c r="AH54" s="716"/>
      <c r="AI54" s="716"/>
      <c r="AJ54" s="716"/>
      <c r="AK54" s="716"/>
      <c r="AL54" s="716"/>
      <c r="AM54" s="716"/>
      <c r="AN54" s="716"/>
      <c r="AO54" s="717"/>
      <c r="AP54" s="472"/>
      <c r="AQ54" s="473"/>
      <c r="AR54" s="427" t="s">
        <v>60</v>
      </c>
      <c r="AS54" s="485"/>
      <c r="AT54" s="669"/>
      <c r="AW54" s="374"/>
      <c r="AX54" s="489"/>
      <c r="AY54" s="489"/>
      <c r="AZ54" s="489"/>
      <c r="BA54" s="489"/>
      <c r="BB54" s="489"/>
      <c r="BC54" s="514"/>
      <c r="BD54" s="514"/>
      <c r="BE54" s="514"/>
      <c r="BF54" s="514"/>
      <c r="BG54" s="514"/>
      <c r="BH54" s="514"/>
      <c r="BI54" s="514"/>
      <c r="BJ54" s="514"/>
      <c r="BK54" s="514"/>
      <c r="BL54" s="514"/>
      <c r="BM54" s="514"/>
      <c r="BN54" s="514"/>
      <c r="BO54" s="514"/>
      <c r="BP54" s="514"/>
      <c r="BQ54" s="514"/>
      <c r="BR54" s="514"/>
      <c r="BT54" s="503"/>
      <c r="BU54" s="504"/>
      <c r="BV54" s="504"/>
      <c r="BW54" s="504"/>
      <c r="BX54" s="504"/>
      <c r="BY54" s="504"/>
      <c r="BZ54" s="504"/>
      <c r="CA54" s="504"/>
      <c r="CB54" s="504"/>
      <c r="CC54" s="504"/>
      <c r="CD54" s="504"/>
      <c r="CE54" s="504"/>
      <c r="CF54" s="504"/>
      <c r="CG54" s="504"/>
      <c r="CH54" s="504"/>
      <c r="CI54" s="504"/>
      <c r="CJ54" s="504"/>
      <c r="CK54" s="504"/>
      <c r="CL54" s="504"/>
      <c r="CM54" s="504"/>
      <c r="CN54" s="504"/>
      <c r="CO54" s="505"/>
    </row>
    <row r="55" spans="1:93" ht="16.649999999999999" customHeight="1">
      <c r="B55" s="444" t="s">
        <v>4020</v>
      </c>
      <c r="C55" s="553" t="s">
        <v>106</v>
      </c>
      <c r="D55" s="553"/>
      <c r="E55" s="553"/>
      <c r="F55" s="546"/>
      <c r="G55" s="546"/>
      <c r="H55" s="433" t="s">
        <v>49</v>
      </c>
      <c r="I55" s="554">
        <f>$R$17+F55+IF(B55="O",$S$3,(IF(B55="🅞",$S$3*2,IF($H$39="是",INT($S$3/2),0))))+X11</f>
        <v>0</v>
      </c>
      <c r="J55" s="554"/>
      <c r="L55" s="511"/>
      <c r="M55" s="512"/>
      <c r="N55" s="512"/>
      <c r="O55" s="512"/>
      <c r="P55" s="513"/>
      <c r="Q55" s="433" t="s">
        <v>49</v>
      </c>
      <c r="R55" s="660"/>
      <c r="S55" s="661"/>
      <c r="T55" s="484"/>
      <c r="U55" s="631"/>
      <c r="V55" s="632"/>
      <c r="W55" s="632"/>
      <c r="X55" s="632"/>
      <c r="Y55" s="632"/>
      <c r="Z55" s="632"/>
      <c r="AA55" s="632"/>
      <c r="AB55" s="632"/>
      <c r="AC55" s="632"/>
      <c r="AD55" s="632"/>
      <c r="AE55" s="632"/>
      <c r="AF55" s="632"/>
      <c r="AG55" s="632"/>
      <c r="AH55" s="632"/>
      <c r="AI55" s="632"/>
      <c r="AJ55" s="632"/>
      <c r="AK55" s="632"/>
      <c r="AL55" s="632"/>
      <c r="AM55" s="632"/>
      <c r="AN55" s="632"/>
      <c r="AO55" s="633"/>
      <c r="AP55" s="477"/>
      <c r="AQ55" s="482"/>
      <c r="AR55" s="428" t="s">
        <v>6474</v>
      </c>
      <c r="AS55" s="670"/>
      <c r="AT55" s="478"/>
      <c r="AU55" s="42"/>
      <c r="AW55" s="373"/>
      <c r="AX55" s="516"/>
      <c r="AY55" s="516"/>
      <c r="AZ55" s="516"/>
      <c r="BA55" s="516"/>
      <c r="BB55" s="516"/>
      <c r="BC55" s="515"/>
      <c r="BD55" s="515"/>
      <c r="BE55" s="515"/>
      <c r="BF55" s="515"/>
      <c r="BG55" s="515"/>
      <c r="BH55" s="515"/>
      <c r="BI55" s="515"/>
      <c r="BJ55" s="515"/>
      <c r="BK55" s="515"/>
      <c r="BL55" s="515"/>
      <c r="BM55" s="515"/>
      <c r="BN55" s="515"/>
      <c r="BO55" s="515"/>
      <c r="BP55" s="515"/>
      <c r="BQ55" s="515"/>
      <c r="BR55" s="515"/>
      <c r="BT55" s="493" t="s">
        <v>6530</v>
      </c>
      <c r="BU55" s="493"/>
      <c r="BV55" s="493"/>
      <c r="BW55" s="493"/>
      <c r="BX55" s="493"/>
      <c r="BY55" s="493"/>
      <c r="BZ55" s="493"/>
      <c r="CA55" s="493"/>
      <c r="CB55" s="493"/>
      <c r="CC55" s="493"/>
      <c r="CD55" s="493"/>
      <c r="CE55" s="493"/>
      <c r="CF55" s="493"/>
      <c r="CG55" s="493"/>
      <c r="CH55" s="493"/>
      <c r="CI55" s="493"/>
      <c r="CJ55" s="493"/>
      <c r="CK55" s="493"/>
      <c r="CL55" s="493"/>
      <c r="CM55" s="493"/>
      <c r="CN55" s="493"/>
      <c r="CO55" s="493"/>
    </row>
    <row r="56" spans="1:93" ht="16.649999999999999" customHeight="1">
      <c r="B56" s="444" t="s">
        <v>4020</v>
      </c>
      <c r="C56" s="553" t="s">
        <v>6049</v>
      </c>
      <c r="D56" s="553"/>
      <c r="E56" s="553"/>
      <c r="F56" s="546"/>
      <c r="G56" s="546"/>
      <c r="H56" s="433" t="s">
        <v>49</v>
      </c>
      <c r="I56" s="554">
        <f>$R$17+F56+IF(B56="O",$S$3,(IF(B56="🅞",$S$3*2,IF($H$39="是",INT($S$3/2),0))))+X11</f>
        <v>0</v>
      </c>
      <c r="J56" s="554"/>
      <c r="L56" s="650"/>
      <c r="M56" s="651"/>
      <c r="N56" s="651"/>
      <c r="O56" s="651"/>
      <c r="P56" s="652"/>
      <c r="Q56" s="433" t="s">
        <v>49</v>
      </c>
      <c r="R56" s="647"/>
      <c r="S56" s="648"/>
      <c r="T56" s="488"/>
      <c r="U56" s="715"/>
      <c r="V56" s="716"/>
      <c r="W56" s="716"/>
      <c r="X56" s="716"/>
      <c r="Y56" s="716"/>
      <c r="Z56" s="716"/>
      <c r="AA56" s="716"/>
      <c r="AB56" s="716"/>
      <c r="AC56" s="716"/>
      <c r="AD56" s="716"/>
      <c r="AE56" s="716"/>
      <c r="AF56" s="716"/>
      <c r="AG56" s="716"/>
      <c r="AH56" s="716"/>
      <c r="AI56" s="716"/>
      <c r="AJ56" s="716"/>
      <c r="AK56" s="716"/>
      <c r="AL56" s="716"/>
      <c r="AM56" s="716"/>
      <c r="AN56" s="716"/>
      <c r="AO56" s="717"/>
      <c r="AP56" s="472"/>
      <c r="AQ56" s="473"/>
      <c r="AR56" s="427" t="s">
        <v>6474</v>
      </c>
      <c r="AS56" s="485"/>
      <c r="AT56" s="669"/>
      <c r="AV56" s="3"/>
      <c r="AW56" s="374"/>
      <c r="AX56" s="489"/>
      <c r="AY56" s="489"/>
      <c r="AZ56" s="489"/>
      <c r="BA56" s="489"/>
      <c r="BB56" s="489"/>
      <c r="BC56" s="514"/>
      <c r="BD56" s="514"/>
      <c r="BE56" s="514"/>
      <c r="BF56" s="514"/>
      <c r="BG56" s="514"/>
      <c r="BH56" s="514"/>
      <c r="BI56" s="514"/>
      <c r="BJ56" s="514"/>
      <c r="BK56" s="514"/>
      <c r="BL56" s="514"/>
      <c r="BM56" s="514"/>
      <c r="BN56" s="514"/>
      <c r="BO56" s="514"/>
      <c r="BP56" s="514"/>
      <c r="BQ56" s="514"/>
      <c r="BR56" s="514"/>
      <c r="BT56" s="497" t="str">
        <f>IFERROR(VLOOKUP($BX$41,魔宠!$A$3:$AD$21,29,FALSE),"")</f>
        <v/>
      </c>
      <c r="BU56" s="498"/>
      <c r="BV56" s="498"/>
      <c r="BW56" s="498"/>
      <c r="BX56" s="498"/>
      <c r="BY56" s="498"/>
      <c r="BZ56" s="498"/>
      <c r="CA56" s="498"/>
      <c r="CB56" s="498"/>
      <c r="CC56" s="498"/>
      <c r="CD56" s="498"/>
      <c r="CE56" s="498"/>
      <c r="CF56" s="498"/>
      <c r="CG56" s="498"/>
      <c r="CH56" s="498"/>
      <c r="CI56" s="498"/>
      <c r="CJ56" s="498"/>
      <c r="CK56" s="498"/>
      <c r="CL56" s="498"/>
      <c r="CM56" s="498"/>
      <c r="CN56" s="498"/>
      <c r="CO56" s="499"/>
    </row>
    <row r="57" spans="1:93" ht="16.649999999999999" customHeight="1">
      <c r="B57" s="444" t="s">
        <v>4020</v>
      </c>
      <c r="C57" s="553" t="s">
        <v>107</v>
      </c>
      <c r="D57" s="553"/>
      <c r="E57" s="553"/>
      <c r="F57" s="546"/>
      <c r="G57" s="546"/>
      <c r="H57" s="433" t="s">
        <v>49</v>
      </c>
      <c r="I57" s="554">
        <f>$R$17+F57+IF(B57="O",$S$3,(IF(B57="🅞",$S$3*2,IF($H$39="是",INT($S$3/2),0))))+X11</f>
        <v>0</v>
      </c>
      <c r="J57" s="554"/>
      <c r="L57" s="511"/>
      <c r="M57" s="512"/>
      <c r="N57" s="512"/>
      <c r="O57" s="512"/>
      <c r="P57" s="513"/>
      <c r="Q57" s="433" t="s">
        <v>49</v>
      </c>
      <c r="R57" s="660"/>
      <c r="S57" s="661"/>
      <c r="T57" s="484"/>
      <c r="U57" s="662"/>
      <c r="V57" s="663"/>
      <c r="W57" s="663"/>
      <c r="X57" s="663"/>
      <c r="Y57" s="663"/>
      <c r="Z57" s="663"/>
      <c r="AA57" s="663"/>
      <c r="AB57" s="663"/>
      <c r="AC57" s="663"/>
      <c r="AD57" s="663"/>
      <c r="AE57" s="663"/>
      <c r="AF57" s="663"/>
      <c r="AG57" s="663"/>
      <c r="AH57" s="663"/>
      <c r="AI57" s="663"/>
      <c r="AJ57" s="663"/>
      <c r="AK57" s="663"/>
      <c r="AL57" s="663"/>
      <c r="AM57" s="663"/>
      <c r="AN57" s="663"/>
      <c r="AO57" s="664"/>
      <c r="AP57" s="476"/>
      <c r="AQ57" s="477"/>
      <c r="AR57" s="428" t="s">
        <v>60</v>
      </c>
      <c r="AS57" s="478"/>
      <c r="AT57" s="668"/>
      <c r="AV57" s="3"/>
      <c r="AW57" s="373"/>
      <c r="AX57" s="516"/>
      <c r="AY57" s="516"/>
      <c r="AZ57" s="516"/>
      <c r="BA57" s="516"/>
      <c r="BB57" s="516"/>
      <c r="BC57" s="515"/>
      <c r="BD57" s="515"/>
      <c r="BE57" s="515"/>
      <c r="BF57" s="515"/>
      <c r="BG57" s="515"/>
      <c r="BH57" s="515"/>
      <c r="BI57" s="515"/>
      <c r="BJ57" s="515"/>
      <c r="BK57" s="515"/>
      <c r="BL57" s="515"/>
      <c r="BM57" s="515"/>
      <c r="BN57" s="515"/>
      <c r="BO57" s="515"/>
      <c r="BP57" s="515"/>
      <c r="BQ57" s="515"/>
      <c r="BR57" s="515"/>
      <c r="BT57" s="500"/>
      <c r="BU57" s="501"/>
      <c r="BV57" s="501"/>
      <c r="BW57" s="501"/>
      <c r="BX57" s="501"/>
      <c r="BY57" s="501"/>
      <c r="BZ57" s="501"/>
      <c r="CA57" s="501"/>
      <c r="CB57" s="501"/>
      <c r="CC57" s="501"/>
      <c r="CD57" s="501"/>
      <c r="CE57" s="501"/>
      <c r="CF57" s="501"/>
      <c r="CG57" s="501"/>
      <c r="CH57" s="501"/>
      <c r="CI57" s="501"/>
      <c r="CJ57" s="501"/>
      <c r="CK57" s="501"/>
      <c r="CL57" s="501"/>
      <c r="CM57" s="501"/>
      <c r="CN57" s="501"/>
      <c r="CO57" s="502"/>
    </row>
    <row r="58" spans="1:93" ht="16.649999999999999" customHeight="1">
      <c r="B58" s="481" t="s">
        <v>6471</v>
      </c>
      <c r="C58" s="481"/>
      <c r="D58" s="481"/>
      <c r="E58" s="481"/>
      <c r="F58" s="481"/>
      <c r="G58" s="481"/>
      <c r="H58" s="44"/>
      <c r="I58" s="47"/>
      <c r="J58" s="47"/>
      <c r="L58" s="481" t="s">
        <v>109</v>
      </c>
      <c r="M58" s="481"/>
      <c r="N58" s="481"/>
      <c r="O58" s="481"/>
      <c r="P58" s="481"/>
      <c r="Q58" s="481"/>
      <c r="R58" s="481"/>
      <c r="S58" s="481"/>
      <c r="T58" s="481"/>
      <c r="U58" s="481"/>
      <c r="V58" s="481"/>
      <c r="W58" s="481"/>
      <c r="X58" s="481"/>
      <c r="Y58" s="481"/>
      <c r="Z58" s="481"/>
      <c r="AA58" s="481"/>
      <c r="AB58" s="481"/>
      <c r="AC58" s="481"/>
      <c r="AD58" s="481"/>
      <c r="AE58" s="481"/>
      <c r="AG58" s="481" t="s">
        <v>108</v>
      </c>
      <c r="AH58" s="481"/>
      <c r="AI58" s="481"/>
      <c r="AJ58" s="481"/>
      <c r="AK58" s="481"/>
      <c r="AL58" s="481"/>
      <c r="AM58" s="481"/>
      <c r="AN58" s="481"/>
      <c r="AO58" s="481"/>
      <c r="AP58" s="481"/>
      <c r="AQ58" s="481"/>
      <c r="AR58" s="481"/>
      <c r="AS58" s="481"/>
      <c r="AT58" s="481"/>
      <c r="AV58" s="3"/>
      <c r="AW58" s="374"/>
      <c r="AX58" s="489"/>
      <c r="AY58" s="489"/>
      <c r="AZ58" s="489"/>
      <c r="BA58" s="489"/>
      <c r="BB58" s="489"/>
      <c r="BC58" s="514"/>
      <c r="BD58" s="514"/>
      <c r="BE58" s="514"/>
      <c r="BF58" s="514"/>
      <c r="BG58" s="514"/>
      <c r="BH58" s="514"/>
      <c r="BI58" s="514"/>
      <c r="BJ58" s="514"/>
      <c r="BK58" s="514"/>
      <c r="BL58" s="514"/>
      <c r="BM58" s="514"/>
      <c r="BN58" s="514"/>
      <c r="BO58" s="514"/>
      <c r="BP58" s="514"/>
      <c r="BQ58" s="514"/>
      <c r="BR58" s="514"/>
      <c r="BT58" s="500"/>
      <c r="BU58" s="501"/>
      <c r="BV58" s="501"/>
      <c r="BW58" s="501"/>
      <c r="BX58" s="501"/>
      <c r="BY58" s="501"/>
      <c r="BZ58" s="501"/>
      <c r="CA58" s="501"/>
      <c r="CB58" s="501"/>
      <c r="CC58" s="501"/>
      <c r="CD58" s="501"/>
      <c r="CE58" s="501"/>
      <c r="CF58" s="501"/>
      <c r="CG58" s="501"/>
      <c r="CH58" s="501"/>
      <c r="CI58" s="501"/>
      <c r="CJ58" s="501"/>
      <c r="CK58" s="501"/>
      <c r="CL58" s="501"/>
      <c r="CM58" s="501"/>
      <c r="CN58" s="501"/>
      <c r="CO58" s="502"/>
    </row>
    <row r="59" spans="1:93" ht="16.649999999999999" customHeight="1">
      <c r="B59" s="444" t="s">
        <v>4020</v>
      </c>
      <c r="C59" s="553" t="s">
        <v>6050</v>
      </c>
      <c r="D59" s="553"/>
      <c r="E59" s="553"/>
      <c r="F59" s="546"/>
      <c r="G59" s="546"/>
      <c r="H59" s="433" t="s">
        <v>49</v>
      </c>
      <c r="I59" s="554">
        <f>$R$18+F59+IF(B59="O",$S$3,(IF(B59="🅞",$S$3*2,IF($H$39="是",INT($S$3/2),0))))+X11</f>
        <v>0</v>
      </c>
      <c r="J59" s="554"/>
      <c r="L59" s="551" t="s">
        <v>73</v>
      </c>
      <c r="M59" s="551"/>
      <c r="N59" s="653"/>
      <c r="O59" s="654" t="s">
        <v>111</v>
      </c>
      <c r="P59" s="551"/>
      <c r="Q59" s="655"/>
      <c r="R59" s="726" t="s">
        <v>112</v>
      </c>
      <c r="S59" s="551"/>
      <c r="T59" s="551"/>
      <c r="U59" s="659" t="s">
        <v>49</v>
      </c>
      <c r="V59" s="551" t="s">
        <v>113</v>
      </c>
      <c r="W59" s="551"/>
      <c r="X59" s="551"/>
      <c r="Y59" s="551"/>
      <c r="Z59" s="551"/>
      <c r="AA59" s="551"/>
      <c r="AB59" s="659" t="s">
        <v>40</v>
      </c>
      <c r="AC59" s="551" t="s">
        <v>114</v>
      </c>
      <c r="AD59" s="551"/>
      <c r="AE59" s="551"/>
      <c r="AF59" s="659" t="s">
        <v>40</v>
      </c>
      <c r="AG59" s="713" t="s">
        <v>116</v>
      </c>
      <c r="AH59" s="713"/>
      <c r="AI59" s="714"/>
      <c r="AJ59" s="714"/>
      <c r="AK59" s="714"/>
      <c r="AL59" s="714"/>
      <c r="AM59" s="714"/>
      <c r="AN59" s="536" t="s">
        <v>110</v>
      </c>
      <c r="AO59" s="536"/>
      <c r="AP59" s="552"/>
      <c r="AQ59" s="552"/>
      <c r="AR59" s="552"/>
      <c r="AS59" s="552"/>
      <c r="AT59" s="552"/>
      <c r="AV59" s="3"/>
      <c r="AW59" s="373"/>
      <c r="AX59" s="516"/>
      <c r="AY59" s="516"/>
      <c r="AZ59" s="516"/>
      <c r="BA59" s="516"/>
      <c r="BB59" s="516"/>
      <c r="BC59" s="515"/>
      <c r="BD59" s="515"/>
      <c r="BE59" s="515"/>
      <c r="BF59" s="515"/>
      <c r="BG59" s="515"/>
      <c r="BH59" s="515"/>
      <c r="BI59" s="515"/>
      <c r="BJ59" s="515"/>
      <c r="BK59" s="515"/>
      <c r="BL59" s="515"/>
      <c r="BM59" s="515"/>
      <c r="BN59" s="515"/>
      <c r="BO59" s="515"/>
      <c r="BP59" s="515"/>
      <c r="BQ59" s="515"/>
      <c r="BR59" s="515"/>
      <c r="BT59" s="500"/>
      <c r="BU59" s="501"/>
      <c r="BV59" s="501"/>
      <c r="BW59" s="501"/>
      <c r="BX59" s="501"/>
      <c r="BY59" s="501"/>
      <c r="BZ59" s="501"/>
      <c r="CA59" s="501"/>
      <c r="CB59" s="501"/>
      <c r="CC59" s="501"/>
      <c r="CD59" s="501"/>
      <c r="CE59" s="501"/>
      <c r="CF59" s="501"/>
      <c r="CG59" s="501"/>
      <c r="CH59" s="501"/>
      <c r="CI59" s="501"/>
      <c r="CJ59" s="501"/>
      <c r="CK59" s="501"/>
      <c r="CL59" s="501"/>
      <c r="CM59" s="501"/>
      <c r="CN59" s="501"/>
      <c r="CO59" s="502"/>
    </row>
    <row r="60" spans="1:93" ht="16.649999999999999" customHeight="1">
      <c r="B60" s="444" t="s">
        <v>4020</v>
      </c>
      <c r="C60" s="553" t="s">
        <v>6051</v>
      </c>
      <c r="D60" s="553"/>
      <c r="E60" s="553"/>
      <c r="F60" s="546"/>
      <c r="G60" s="546"/>
      <c r="H60" s="433" t="s">
        <v>49</v>
      </c>
      <c r="I60" s="554">
        <f>$R$18+F60+IF(B60="O",$S$3,(IF(B60="🅞",$S$3*2,IF($H$39="是",INT($S$3/2),0))))+X11</f>
        <v>0</v>
      </c>
      <c r="J60" s="554"/>
      <c r="L60" s="656">
        <f>SUM(数据表!BL20,数据表!BP20,数据表!BT20:BU24,数据表!BY20:BZ28,装备!H27)</f>
        <v>0</v>
      </c>
      <c r="M60" s="656"/>
      <c r="N60" s="656"/>
      <c r="O60" s="656">
        <f>背包!V3</f>
        <v>0</v>
      </c>
      <c r="P60" s="656"/>
      <c r="Q60" s="656"/>
      <c r="R60" s="656">
        <f>背包!AS3</f>
        <v>0</v>
      </c>
      <c r="S60" s="656"/>
      <c r="T60" s="656"/>
      <c r="U60" s="659"/>
      <c r="V60" s="657">
        <f>SUM(L60:T60)+AC60+AC62</f>
        <v>0</v>
      </c>
      <c r="W60" s="658"/>
      <c r="X60" s="658"/>
      <c r="Y60" s="658"/>
      <c r="Z60" s="658"/>
      <c r="AA60" s="658"/>
      <c r="AB60" s="659"/>
      <c r="AC60" s="560">
        <f>SUM(AI59:AM62,AP59)/50</f>
        <v>0</v>
      </c>
      <c r="AD60" s="560"/>
      <c r="AE60" s="560"/>
      <c r="AF60" s="659"/>
      <c r="AG60" s="555" t="s">
        <v>115</v>
      </c>
      <c r="AH60" s="555"/>
      <c r="AI60" s="543"/>
      <c r="AJ60" s="543"/>
      <c r="AK60" s="543"/>
      <c r="AL60" s="543"/>
      <c r="AM60" s="543"/>
      <c r="AN60" s="551" t="s">
        <v>6021</v>
      </c>
      <c r="AO60" s="551"/>
      <c r="AP60" s="551"/>
      <c r="AQ60" s="551"/>
      <c r="AR60" s="551"/>
      <c r="AS60" s="551"/>
      <c r="AT60" s="551"/>
      <c r="AV60" s="3"/>
      <c r="AW60" s="374"/>
      <c r="AX60" s="489"/>
      <c r="AY60" s="489"/>
      <c r="AZ60" s="489"/>
      <c r="BA60" s="489"/>
      <c r="BB60" s="489"/>
      <c r="BC60" s="514"/>
      <c r="BD60" s="514"/>
      <c r="BE60" s="514"/>
      <c r="BF60" s="514"/>
      <c r="BG60" s="514"/>
      <c r="BH60" s="514"/>
      <c r="BI60" s="514"/>
      <c r="BJ60" s="514"/>
      <c r="BK60" s="514"/>
      <c r="BL60" s="514"/>
      <c r="BM60" s="514"/>
      <c r="BN60" s="514"/>
      <c r="BO60" s="514"/>
      <c r="BP60" s="514"/>
      <c r="BQ60" s="514"/>
      <c r="BR60" s="514"/>
      <c r="BT60" s="500"/>
      <c r="BU60" s="501"/>
      <c r="BV60" s="501"/>
      <c r="BW60" s="501"/>
      <c r="BX60" s="501"/>
      <c r="BY60" s="501"/>
      <c r="BZ60" s="501"/>
      <c r="CA60" s="501"/>
      <c r="CB60" s="501"/>
      <c r="CC60" s="501"/>
      <c r="CD60" s="501"/>
      <c r="CE60" s="501"/>
      <c r="CF60" s="501"/>
      <c r="CG60" s="501"/>
      <c r="CH60" s="501"/>
      <c r="CI60" s="501"/>
      <c r="CJ60" s="501"/>
      <c r="CK60" s="501"/>
      <c r="CL60" s="501"/>
      <c r="CM60" s="501"/>
      <c r="CN60" s="501"/>
      <c r="CO60" s="502"/>
    </row>
    <row r="61" spans="1:93" ht="16.649999999999999" customHeight="1">
      <c r="B61" s="444" t="s">
        <v>4020</v>
      </c>
      <c r="C61" s="553" t="s">
        <v>117</v>
      </c>
      <c r="D61" s="553"/>
      <c r="E61" s="553"/>
      <c r="F61" s="546"/>
      <c r="G61" s="546"/>
      <c r="H61" s="433" t="s">
        <v>49</v>
      </c>
      <c r="I61" s="554">
        <f>$R$18+F61+IF(B61="O",$S$3,(IF(B61="🅞",$S$3*2,IF($H$39="是",INT($S$3/2),0))))+X11</f>
        <v>0</v>
      </c>
      <c r="J61" s="554"/>
      <c r="L61" s="707" t="s">
        <v>118</v>
      </c>
      <c r="M61" s="707"/>
      <c r="N61" s="708"/>
      <c r="O61" s="709" t="s">
        <v>119</v>
      </c>
      <c r="P61" s="707"/>
      <c r="Q61" s="710"/>
      <c r="R61" s="711" t="s">
        <v>6022</v>
      </c>
      <c r="S61" s="707"/>
      <c r="T61" s="707"/>
      <c r="V61" s="712" t="s">
        <v>6023</v>
      </c>
      <c r="W61" s="712"/>
      <c r="X61" s="712"/>
      <c r="Y61" s="712"/>
      <c r="Z61" s="712"/>
      <c r="AA61" s="712"/>
      <c r="AC61" s="551" t="s">
        <v>120</v>
      </c>
      <c r="AD61" s="551"/>
      <c r="AE61" s="551"/>
      <c r="AG61" s="557" t="s">
        <v>121</v>
      </c>
      <c r="AH61" s="557"/>
      <c r="AI61" s="704"/>
      <c r="AJ61" s="704"/>
      <c r="AK61" s="704"/>
      <c r="AL61" s="704"/>
      <c r="AM61" s="704"/>
      <c r="AN61" s="558" t="str">
        <f>CONCATENATE(SUM(AP59*10+AI60/2+AI59+AI61/10+AI62/100),"GP")</f>
        <v>0GP</v>
      </c>
      <c r="AO61" s="558"/>
      <c r="AP61" s="558"/>
      <c r="AQ61" s="558"/>
      <c r="AR61" s="558"/>
      <c r="AS61" s="558"/>
      <c r="AT61" s="558"/>
      <c r="AV61" s="3"/>
      <c r="AW61" s="373"/>
      <c r="AX61" s="516"/>
      <c r="AY61" s="516"/>
      <c r="AZ61" s="516"/>
      <c r="BA61" s="516"/>
      <c r="BB61" s="516"/>
      <c r="BC61" s="515"/>
      <c r="BD61" s="515"/>
      <c r="BE61" s="515"/>
      <c r="BF61" s="515"/>
      <c r="BG61" s="515"/>
      <c r="BH61" s="515"/>
      <c r="BI61" s="515"/>
      <c r="BJ61" s="515"/>
      <c r="BK61" s="515"/>
      <c r="BL61" s="515"/>
      <c r="BM61" s="515"/>
      <c r="BN61" s="515"/>
      <c r="BO61" s="515"/>
      <c r="BP61" s="515"/>
      <c r="BQ61" s="515"/>
      <c r="BR61" s="515"/>
      <c r="BT61" s="500"/>
      <c r="BU61" s="501"/>
      <c r="BV61" s="501"/>
      <c r="BW61" s="501"/>
      <c r="BX61" s="501"/>
      <c r="BY61" s="501"/>
      <c r="BZ61" s="501"/>
      <c r="CA61" s="501"/>
      <c r="CB61" s="501"/>
      <c r="CC61" s="501"/>
      <c r="CD61" s="501"/>
      <c r="CE61" s="501"/>
      <c r="CF61" s="501"/>
      <c r="CG61" s="501"/>
      <c r="CH61" s="501"/>
      <c r="CI61" s="501"/>
      <c r="CJ61" s="501"/>
      <c r="CK61" s="501"/>
      <c r="CL61" s="501"/>
      <c r="CM61" s="501"/>
      <c r="CN61" s="501"/>
      <c r="CO61" s="502"/>
    </row>
    <row r="62" spans="1:93" ht="16.649999999999999" customHeight="1">
      <c r="B62" s="444" t="s">
        <v>4020</v>
      </c>
      <c r="C62" s="553" t="s">
        <v>122</v>
      </c>
      <c r="D62" s="553"/>
      <c r="E62" s="553"/>
      <c r="F62" s="546"/>
      <c r="G62" s="546"/>
      <c r="H62" s="433" t="s">
        <v>49</v>
      </c>
      <c r="I62" s="554">
        <f>$R$18+F62+IF(B62="O",$S$3,(IF(B62="🅞",$S$3*2,IF($H$39="是",INT($S$3/2),0))))+X11</f>
        <v>0</v>
      </c>
      <c r="J62" s="554"/>
      <c r="L62" s="705">
        <v>0</v>
      </c>
      <c r="M62" s="705"/>
      <c r="N62" s="705"/>
      <c r="O62" s="705">
        <f>F13*5</f>
        <v>50</v>
      </c>
      <c r="P62" s="705"/>
      <c r="Q62" s="705"/>
      <c r="R62" s="705">
        <f>F13*10</f>
        <v>100</v>
      </c>
      <c r="S62" s="705"/>
      <c r="T62" s="705"/>
      <c r="V62" s="706">
        <f>IF(V61="最大载重",F13*15,IF(V60&lt;=O62,"轻载",IF(V60&lt;=R62,"重载",IF(V60&gt;R62,"超载"))))</f>
        <v>150</v>
      </c>
      <c r="W62" s="706"/>
      <c r="X62" s="706"/>
      <c r="Y62" s="706"/>
      <c r="Z62" s="706"/>
      <c r="AA62" s="706"/>
      <c r="AC62" s="560">
        <f>IF(背包!V27="无效",0,15)+IF(背包!AS27="无效",0,15)</f>
        <v>0</v>
      </c>
      <c r="AD62" s="560"/>
      <c r="AE62" s="560"/>
      <c r="AG62" s="559" t="s">
        <v>123</v>
      </c>
      <c r="AH62" s="559"/>
      <c r="AI62" s="550"/>
      <c r="AJ62" s="550"/>
      <c r="AK62" s="550"/>
      <c r="AL62" s="550"/>
      <c r="AM62" s="550"/>
      <c r="AN62" s="558"/>
      <c r="AO62" s="558"/>
      <c r="AP62" s="558"/>
      <c r="AQ62" s="558"/>
      <c r="AR62" s="558"/>
      <c r="AS62" s="558"/>
      <c r="AT62" s="558"/>
      <c r="AV62" s="3"/>
      <c r="AW62" s="374"/>
      <c r="AX62" s="489"/>
      <c r="AY62" s="489"/>
      <c r="AZ62" s="489"/>
      <c r="BA62" s="489"/>
      <c r="BB62" s="489"/>
      <c r="BC62" s="514"/>
      <c r="BD62" s="514"/>
      <c r="BE62" s="514"/>
      <c r="BF62" s="514"/>
      <c r="BG62" s="514"/>
      <c r="BH62" s="514"/>
      <c r="BI62" s="514"/>
      <c r="BJ62" s="514"/>
      <c r="BK62" s="514"/>
      <c r="BL62" s="514"/>
      <c r="BM62" s="514"/>
      <c r="BN62" s="514"/>
      <c r="BO62" s="514"/>
      <c r="BP62" s="514"/>
      <c r="BQ62" s="514"/>
      <c r="BR62" s="514"/>
      <c r="BT62" s="500"/>
      <c r="BU62" s="501"/>
      <c r="BV62" s="501"/>
      <c r="BW62" s="501"/>
      <c r="BX62" s="501"/>
      <c r="BY62" s="501"/>
      <c r="BZ62" s="501"/>
      <c r="CA62" s="501"/>
      <c r="CB62" s="501"/>
      <c r="CC62" s="501"/>
      <c r="CD62" s="501"/>
      <c r="CE62" s="501"/>
      <c r="CF62" s="501"/>
      <c r="CG62" s="501"/>
      <c r="CH62" s="501"/>
      <c r="CI62" s="501"/>
      <c r="CJ62" s="501"/>
      <c r="CK62" s="501"/>
      <c r="CL62" s="501"/>
      <c r="CM62" s="501"/>
      <c r="CN62" s="501"/>
      <c r="CO62" s="502"/>
    </row>
    <row r="63" spans="1:93" ht="16.649999999999999" customHeight="1">
      <c r="H63" s="434"/>
      <c r="AV63" s="3"/>
      <c r="AW63" s="373"/>
      <c r="AX63" s="516"/>
      <c r="AY63" s="516"/>
      <c r="AZ63" s="516"/>
      <c r="BA63" s="516"/>
      <c r="BB63" s="516"/>
      <c r="BC63" s="515"/>
      <c r="BD63" s="515"/>
      <c r="BE63" s="515"/>
      <c r="BF63" s="515"/>
      <c r="BG63" s="515"/>
      <c r="BH63" s="515"/>
      <c r="BI63" s="515"/>
      <c r="BJ63" s="515"/>
      <c r="BK63" s="515"/>
      <c r="BL63" s="515"/>
      <c r="BM63" s="515"/>
      <c r="BN63" s="515"/>
      <c r="BO63" s="515"/>
      <c r="BP63" s="515"/>
      <c r="BQ63" s="515"/>
      <c r="BR63" s="515"/>
      <c r="BT63" s="500"/>
      <c r="BU63" s="501"/>
      <c r="BV63" s="501"/>
      <c r="BW63" s="501"/>
      <c r="BX63" s="501"/>
      <c r="BY63" s="501"/>
      <c r="BZ63" s="501"/>
      <c r="CA63" s="501"/>
      <c r="CB63" s="501"/>
      <c r="CC63" s="501"/>
      <c r="CD63" s="501"/>
      <c r="CE63" s="501"/>
      <c r="CF63" s="501"/>
      <c r="CG63" s="501"/>
      <c r="CH63" s="501"/>
      <c r="CI63" s="501"/>
      <c r="CJ63" s="501"/>
      <c r="CK63" s="501"/>
      <c r="CL63" s="501"/>
      <c r="CM63" s="501"/>
      <c r="CN63" s="501"/>
      <c r="CO63" s="502"/>
    </row>
    <row r="64" spans="1:93" ht="16.649999999999999" customHeight="1">
      <c r="B64" s="533" t="s">
        <v>98</v>
      </c>
      <c r="C64" s="533"/>
      <c r="D64" s="533"/>
      <c r="E64" s="533"/>
      <c r="F64" s="533"/>
      <c r="G64" s="533"/>
      <c r="H64" s="533"/>
      <c r="I64" s="533"/>
      <c r="J64" s="533"/>
      <c r="K64" s="533"/>
      <c r="L64" s="533"/>
      <c r="M64" s="533"/>
      <c r="N64" s="533"/>
      <c r="P64" s="723" t="s">
        <v>4011</v>
      </c>
      <c r="Q64" s="724"/>
      <c r="R64" s="724"/>
      <c r="S64" s="724"/>
      <c r="T64" s="724"/>
      <c r="U64" s="724"/>
      <c r="V64" s="725"/>
      <c r="X64" s="533" t="s">
        <v>6066</v>
      </c>
      <c r="Y64" s="533"/>
      <c r="Z64" s="533"/>
      <c r="AA64" s="533"/>
      <c r="AB64" s="533"/>
      <c r="AC64" s="533"/>
      <c r="AD64" s="533"/>
      <c r="AE64" s="533"/>
      <c r="AF64" s="533"/>
      <c r="AG64" s="533"/>
      <c r="AH64" s="533"/>
      <c r="AI64" s="533"/>
      <c r="AJ64" s="533"/>
      <c r="AK64" s="533"/>
      <c r="AL64" s="533"/>
      <c r="AM64" s="533"/>
      <c r="AN64" s="533"/>
      <c r="AO64" s="533"/>
      <c r="AP64" s="533"/>
      <c r="AQ64" s="533"/>
      <c r="AR64" s="533"/>
      <c r="AS64" s="533"/>
      <c r="AT64" s="533"/>
      <c r="AV64" s="3"/>
      <c r="AW64" s="374"/>
      <c r="AX64" s="489"/>
      <c r="AY64" s="489"/>
      <c r="AZ64" s="489"/>
      <c r="BA64" s="489"/>
      <c r="BB64" s="489"/>
      <c r="BC64" s="514"/>
      <c r="BD64" s="514"/>
      <c r="BE64" s="514"/>
      <c r="BF64" s="514"/>
      <c r="BG64" s="514"/>
      <c r="BH64" s="514"/>
      <c r="BI64" s="514"/>
      <c r="BJ64" s="514"/>
      <c r="BK64" s="514"/>
      <c r="BL64" s="514"/>
      <c r="BM64" s="514"/>
      <c r="BN64" s="514"/>
      <c r="BO64" s="514"/>
      <c r="BP64" s="514"/>
      <c r="BQ64" s="514"/>
      <c r="BR64" s="514"/>
      <c r="BT64" s="500"/>
      <c r="BU64" s="501"/>
      <c r="BV64" s="501"/>
      <c r="BW64" s="501"/>
      <c r="BX64" s="501"/>
      <c r="BY64" s="501"/>
      <c r="BZ64" s="501"/>
      <c r="CA64" s="501"/>
      <c r="CB64" s="501"/>
      <c r="CC64" s="501"/>
      <c r="CD64" s="501"/>
      <c r="CE64" s="501"/>
      <c r="CF64" s="501"/>
      <c r="CG64" s="501"/>
      <c r="CH64" s="501"/>
      <c r="CI64" s="501"/>
      <c r="CJ64" s="501"/>
      <c r="CK64" s="501"/>
      <c r="CL64" s="501"/>
      <c r="CM64" s="501"/>
      <c r="CN64" s="501"/>
      <c r="CO64" s="502"/>
    </row>
    <row r="65" spans="2:93" ht="16.649999999999999" customHeight="1">
      <c r="B65" s="481" t="s">
        <v>102</v>
      </c>
      <c r="C65" s="481"/>
      <c r="D65" s="481"/>
      <c r="E65" s="493" t="s">
        <v>5281</v>
      </c>
      <c r="F65" s="493"/>
      <c r="G65" s="481" t="s">
        <v>103</v>
      </c>
      <c r="H65" s="481"/>
      <c r="I65" s="493" t="s">
        <v>5281</v>
      </c>
      <c r="J65" s="493"/>
      <c r="K65" s="493" t="s">
        <v>4012</v>
      </c>
      <c r="L65" s="493"/>
      <c r="M65" s="493"/>
      <c r="N65" s="493"/>
      <c r="P65" s="432" t="s">
        <v>10</v>
      </c>
      <c r="Q65" s="481" t="s">
        <v>125</v>
      </c>
      <c r="R65" s="481"/>
      <c r="S65" s="481"/>
      <c r="T65" s="481"/>
      <c r="U65" s="481"/>
      <c r="V65" s="481"/>
      <c r="X65" s="432" t="s">
        <v>10</v>
      </c>
      <c r="Y65" s="481" t="s">
        <v>125</v>
      </c>
      <c r="Z65" s="481"/>
      <c r="AA65" s="481"/>
      <c r="AB65" s="481"/>
      <c r="AC65" s="481"/>
      <c r="AD65" s="481"/>
      <c r="AE65" s="432"/>
      <c r="AF65" s="432" t="s">
        <v>10</v>
      </c>
      <c r="AG65" s="481" t="s">
        <v>125</v>
      </c>
      <c r="AH65" s="481"/>
      <c r="AI65" s="481"/>
      <c r="AJ65" s="481"/>
      <c r="AK65" s="481"/>
      <c r="AL65" s="481"/>
      <c r="AM65" s="432"/>
      <c r="AN65" s="432" t="s">
        <v>10</v>
      </c>
      <c r="AO65" s="481" t="s">
        <v>125</v>
      </c>
      <c r="AP65" s="481"/>
      <c r="AQ65" s="481"/>
      <c r="AR65" s="481"/>
      <c r="AS65" s="481"/>
      <c r="AT65" s="481"/>
      <c r="AV65" s="3"/>
      <c r="AW65" s="373"/>
      <c r="AX65" s="516"/>
      <c r="AY65" s="516"/>
      <c r="AZ65" s="516"/>
      <c r="BA65" s="516"/>
      <c r="BB65" s="516"/>
      <c r="BC65" s="515"/>
      <c r="BD65" s="515"/>
      <c r="BE65" s="515"/>
      <c r="BF65" s="515"/>
      <c r="BG65" s="515"/>
      <c r="BH65" s="515"/>
      <c r="BI65" s="515"/>
      <c r="BJ65" s="515"/>
      <c r="BK65" s="515"/>
      <c r="BL65" s="515"/>
      <c r="BM65" s="515"/>
      <c r="BN65" s="515"/>
      <c r="BO65" s="515"/>
      <c r="BP65" s="515"/>
      <c r="BQ65" s="515"/>
      <c r="BR65" s="515"/>
      <c r="BT65" s="503"/>
      <c r="BU65" s="504"/>
      <c r="BV65" s="504"/>
      <c r="BW65" s="504"/>
      <c r="BX65" s="504"/>
      <c r="BY65" s="504"/>
      <c r="BZ65" s="504"/>
      <c r="CA65" s="504"/>
      <c r="CB65" s="504"/>
      <c r="CC65" s="504"/>
      <c r="CD65" s="504"/>
      <c r="CE65" s="504"/>
      <c r="CF65" s="504"/>
      <c r="CG65" s="504"/>
      <c r="CH65" s="504"/>
      <c r="CI65" s="504"/>
      <c r="CJ65" s="504"/>
      <c r="CK65" s="504"/>
      <c r="CL65" s="504"/>
      <c r="CM65" s="504"/>
      <c r="CN65" s="504"/>
      <c r="CO65" s="505"/>
    </row>
    <row r="66" spans="2:93" ht="16.649999999999999" customHeight="1">
      <c r="B66" s="544" t="s">
        <v>52</v>
      </c>
      <c r="C66" s="544"/>
      <c r="D66" s="544"/>
      <c r="E66" s="580"/>
      <c r="F66" s="580"/>
      <c r="G66" s="554">
        <f>IFERROR(SUM(8+S3+E66+R16),"×")</f>
        <v>10</v>
      </c>
      <c r="H66" s="554"/>
      <c r="I66" s="580"/>
      <c r="J66" s="580"/>
      <c r="K66" s="554" t="str">
        <f>IFERROR(CONCATENATE("D20+",SUM(R16+S3+I66)),"x")</f>
        <v>D20+2</v>
      </c>
      <c r="L66" s="554"/>
      <c r="M66" s="554"/>
      <c r="N66" s="554"/>
      <c r="P66" s="380" t="str">
        <f>CONCATENATE(IFERROR(VLOOKUP(Q66,法术大全!$A:$W,2,FALSE),""),IFERROR(IF(VLOOKUP(Q66,法术大全!$A:$W,5,FALSE)="√"," ",""),""))</f>
        <v/>
      </c>
      <c r="Q66" s="525"/>
      <c r="R66" s="525"/>
      <c r="S66" s="525"/>
      <c r="T66" s="525"/>
      <c r="U66" s="525"/>
      <c r="V66" s="525"/>
      <c r="X66" s="380" t="str">
        <f>CONCATENATE(IFERROR(VLOOKUP(Y66,法术大全!$A:$W,2,FALSE),""),IFERROR(IF(VLOOKUP(Y66,法术大全!$A:$W,5,FALSE)="√"," ",""),""))</f>
        <v/>
      </c>
      <c r="Y66" s="525"/>
      <c r="Z66" s="525"/>
      <c r="AA66" s="525"/>
      <c r="AB66" s="525"/>
      <c r="AC66" s="525"/>
      <c r="AD66" s="525"/>
      <c r="AF66" s="380" t="str">
        <f>CONCATENATE(IFERROR(VLOOKUP(AG66,法术大全!$A:$W,2,FALSE),""),IFERROR(IF(VLOOKUP(AG66,法术大全!$A:$W,5,FALSE)="√"," ",""),""))</f>
        <v/>
      </c>
      <c r="AG66" s="525"/>
      <c r="AH66" s="525"/>
      <c r="AI66" s="525"/>
      <c r="AJ66" s="525"/>
      <c r="AK66" s="525"/>
      <c r="AL66" s="525"/>
      <c r="AN66" s="380" t="str">
        <f>CONCATENATE(IFERROR(VLOOKUP(AO66,法术大全!$A:$W,2,FALSE),""),IFERROR(IF(VLOOKUP(AO66,法术大全!$A:$W,5,FALSE)="√"," ",""),""))</f>
        <v/>
      </c>
      <c r="AO66" s="525"/>
      <c r="AP66" s="525"/>
      <c r="AQ66" s="525"/>
      <c r="AR66" s="525"/>
      <c r="AS66" s="525"/>
      <c r="AT66" s="525"/>
      <c r="AV66" s="3"/>
      <c r="AW66" s="374"/>
      <c r="AX66" s="489"/>
      <c r="AY66" s="489"/>
      <c r="AZ66" s="489"/>
      <c r="BA66" s="489"/>
      <c r="BB66" s="489"/>
      <c r="BC66" s="514"/>
      <c r="BD66" s="514"/>
      <c r="BE66" s="514"/>
      <c r="BF66" s="514"/>
      <c r="BG66" s="514"/>
      <c r="BH66" s="514"/>
      <c r="BI66" s="514"/>
      <c r="BJ66" s="514"/>
      <c r="BK66" s="514"/>
      <c r="BL66" s="514"/>
      <c r="BM66" s="514"/>
      <c r="BN66" s="514"/>
      <c r="BO66" s="514"/>
      <c r="BP66" s="514"/>
      <c r="BQ66" s="514"/>
      <c r="BR66" s="514"/>
      <c r="BT66" s="493" t="s">
        <v>6531</v>
      </c>
      <c r="BU66" s="493"/>
      <c r="BV66" s="493"/>
      <c r="BW66" s="493"/>
      <c r="BX66" s="493"/>
      <c r="BY66" s="493"/>
      <c r="BZ66" s="493"/>
      <c r="CA66" s="493"/>
      <c r="CB66" s="493"/>
      <c r="CC66" s="493"/>
      <c r="CD66" s="493"/>
      <c r="CE66" s="493"/>
      <c r="CF66" s="493"/>
      <c r="CG66" s="493"/>
      <c r="CH66" s="493"/>
      <c r="CI66" s="493"/>
      <c r="CJ66" s="493"/>
      <c r="CK66" s="493"/>
      <c r="CL66" s="493"/>
      <c r="CM66" s="493"/>
      <c r="CN66" s="493"/>
      <c r="CO66" s="493"/>
    </row>
    <row r="67" spans="2:93" ht="16.649999999999999" customHeight="1">
      <c r="B67" s="544" t="s">
        <v>53</v>
      </c>
      <c r="C67" s="544"/>
      <c r="D67" s="544"/>
      <c r="E67" s="580"/>
      <c r="F67" s="580"/>
      <c r="G67" s="554">
        <f>IFERROR(SUM(8+S3+E67+R17),"×")</f>
        <v>10</v>
      </c>
      <c r="H67" s="554"/>
      <c r="I67" s="580"/>
      <c r="J67" s="580"/>
      <c r="K67" s="554" t="str">
        <f>IFERROR(CONCATENATE("D20+",SUM(R17+S3+I67)),"x")</f>
        <v>D20+2</v>
      </c>
      <c r="L67" s="554"/>
      <c r="M67" s="554"/>
      <c r="N67" s="554"/>
      <c r="P67" s="380" t="str">
        <f>CONCATENATE(IFERROR(VLOOKUP(Q67,法术大全!$A:$W,2,FALSE),""),IFERROR(IF(VLOOKUP(Q67,法术大全!$A:$W,5,FALSE)="√"," ",""),""))</f>
        <v/>
      </c>
      <c r="Q67" s="525"/>
      <c r="R67" s="525"/>
      <c r="S67" s="525"/>
      <c r="T67" s="525"/>
      <c r="U67" s="525"/>
      <c r="V67" s="525"/>
      <c r="X67" s="380" t="str">
        <f>CONCATENATE(IFERROR(VLOOKUP(Y67,法术大全!$A:$W,2,FALSE),""),IFERROR(IF(VLOOKUP(Y67,法术大全!$A:$W,5,FALSE)="√"," ",""),""))</f>
        <v/>
      </c>
      <c r="Y67" s="525"/>
      <c r="Z67" s="525"/>
      <c r="AA67" s="525"/>
      <c r="AB67" s="525"/>
      <c r="AC67" s="525"/>
      <c r="AD67" s="525"/>
      <c r="AF67" s="380" t="str">
        <f>CONCATENATE(IFERROR(VLOOKUP(AG67,法术大全!$A:$W,2,FALSE),""),IFERROR(IF(VLOOKUP(AG67,法术大全!$A:$W,5,FALSE)="√"," ",""),""))</f>
        <v/>
      </c>
      <c r="AG67" s="525"/>
      <c r="AH67" s="525"/>
      <c r="AI67" s="525"/>
      <c r="AJ67" s="525"/>
      <c r="AK67" s="525"/>
      <c r="AL67" s="525"/>
      <c r="AN67" s="380" t="str">
        <f>CONCATENATE(IFERROR(VLOOKUP(AO67,法术大全!$A:$W,2,FALSE),""),IFERROR(IF(VLOOKUP(AO67,法术大全!$A:$W,5,FALSE)="√"," ",""),""))</f>
        <v/>
      </c>
      <c r="AO67" s="525"/>
      <c r="AP67" s="525"/>
      <c r="AQ67" s="525"/>
      <c r="AR67" s="525"/>
      <c r="AS67" s="525"/>
      <c r="AT67" s="525"/>
      <c r="AU67" s="3"/>
      <c r="AV67" s="3"/>
      <c r="AW67" s="373"/>
      <c r="AX67" s="516"/>
      <c r="AY67" s="516"/>
      <c r="AZ67" s="516"/>
      <c r="BA67" s="516"/>
      <c r="BB67" s="516"/>
      <c r="BC67" s="515"/>
      <c r="BD67" s="515"/>
      <c r="BE67" s="515"/>
      <c r="BF67" s="515"/>
      <c r="BG67" s="515"/>
      <c r="BH67" s="515"/>
      <c r="BI67" s="515"/>
      <c r="BJ67" s="515"/>
      <c r="BK67" s="515"/>
      <c r="BL67" s="515"/>
      <c r="BM67" s="515"/>
      <c r="BN67" s="515"/>
      <c r="BO67" s="515"/>
      <c r="BP67" s="515"/>
      <c r="BQ67" s="515"/>
      <c r="BR67" s="515"/>
      <c r="BT67" s="497" t="str">
        <f>IFERROR(VLOOKUP($BX$41,魔宠!$A$3:$AD$21,30,FALSE),"")</f>
        <v/>
      </c>
      <c r="BU67" s="498"/>
      <c r="BV67" s="498"/>
      <c r="BW67" s="498"/>
      <c r="BX67" s="498"/>
      <c r="BY67" s="498"/>
      <c r="BZ67" s="498"/>
      <c r="CA67" s="498"/>
      <c r="CB67" s="498"/>
      <c r="CC67" s="498"/>
      <c r="CD67" s="498"/>
      <c r="CE67" s="498"/>
      <c r="CF67" s="498"/>
      <c r="CG67" s="498"/>
      <c r="CH67" s="498"/>
      <c r="CI67" s="498"/>
      <c r="CJ67" s="498"/>
      <c r="CK67" s="498"/>
      <c r="CL67" s="498"/>
      <c r="CM67" s="498"/>
      <c r="CN67" s="498"/>
      <c r="CO67" s="499"/>
    </row>
    <row r="68" spans="2:93" ht="16.649999999999999" customHeight="1">
      <c r="B68" s="544" t="s">
        <v>54</v>
      </c>
      <c r="C68" s="544"/>
      <c r="D68" s="544"/>
      <c r="E68" s="580"/>
      <c r="F68" s="580"/>
      <c r="G68" s="554">
        <f>IFERROR(SUM(8+S3+E68+R18),"×")</f>
        <v>10</v>
      </c>
      <c r="H68" s="554"/>
      <c r="I68" s="580"/>
      <c r="J68" s="580"/>
      <c r="K68" s="554" t="str">
        <f>IFERROR(CONCATENATE("D20+",SUM(R18+S3+I68)),"x")</f>
        <v>D20+2</v>
      </c>
      <c r="L68" s="554"/>
      <c r="M68" s="554"/>
      <c r="N68" s="554"/>
      <c r="P68" s="380" t="str">
        <f>CONCATENATE(IFERROR(VLOOKUP(Q68,法术大全!$A:$W,2,FALSE),""),IFERROR(IF(VLOOKUP(Q68,法术大全!$A:$W,5,FALSE)="√"," ",""),""))</f>
        <v/>
      </c>
      <c r="Q68" s="525"/>
      <c r="R68" s="525"/>
      <c r="S68" s="525"/>
      <c r="T68" s="525"/>
      <c r="U68" s="525"/>
      <c r="V68" s="525"/>
      <c r="X68" s="380" t="str">
        <f>CONCATENATE(IFERROR(VLOOKUP(Y68,法术大全!$A:$W,2,FALSE),""),IFERROR(IF(VLOOKUP(Y68,法术大全!$A:$W,5,FALSE)="√"," ",""),""))</f>
        <v/>
      </c>
      <c r="Y68" s="525"/>
      <c r="Z68" s="525"/>
      <c r="AA68" s="525"/>
      <c r="AB68" s="525"/>
      <c r="AC68" s="525"/>
      <c r="AD68" s="525"/>
      <c r="AF68" s="380" t="str">
        <f>CONCATENATE(IFERROR(VLOOKUP(AG68,法术大全!$A:$W,2,FALSE),""),IFERROR(IF(VLOOKUP(AG68,法术大全!$A:$W,5,FALSE)="√"," ",""),""))</f>
        <v/>
      </c>
      <c r="AG68" s="525"/>
      <c r="AH68" s="525"/>
      <c r="AI68" s="525"/>
      <c r="AJ68" s="525"/>
      <c r="AK68" s="525"/>
      <c r="AL68" s="525"/>
      <c r="AN68" s="380" t="str">
        <f>CONCATENATE(IFERROR(VLOOKUP(AO68,法术大全!$A:$W,2,FALSE),""),IFERROR(IF(VLOOKUP(AO68,法术大全!$A:$W,5,FALSE)="√"," ",""),""))</f>
        <v/>
      </c>
      <c r="AO68" s="525"/>
      <c r="AP68" s="525"/>
      <c r="AQ68" s="525"/>
      <c r="AR68" s="525"/>
      <c r="AS68" s="525"/>
      <c r="AT68" s="525"/>
      <c r="AU68" s="3"/>
      <c r="AV68" s="3"/>
      <c r="AW68" s="374"/>
      <c r="AX68" s="489"/>
      <c r="AY68" s="489"/>
      <c r="AZ68" s="489"/>
      <c r="BA68" s="489"/>
      <c r="BB68" s="489"/>
      <c r="BC68" s="514"/>
      <c r="BD68" s="514"/>
      <c r="BE68" s="514"/>
      <c r="BF68" s="514"/>
      <c r="BG68" s="514"/>
      <c r="BH68" s="514"/>
      <c r="BI68" s="514"/>
      <c r="BJ68" s="514"/>
      <c r="BK68" s="514"/>
      <c r="BL68" s="514"/>
      <c r="BM68" s="514"/>
      <c r="BN68" s="514"/>
      <c r="BO68" s="514"/>
      <c r="BP68" s="514"/>
      <c r="BQ68" s="514"/>
      <c r="BR68" s="514"/>
      <c r="BT68" s="500"/>
      <c r="BU68" s="501"/>
      <c r="BV68" s="501"/>
      <c r="BW68" s="501"/>
      <c r="BX68" s="501"/>
      <c r="BY68" s="501"/>
      <c r="BZ68" s="501"/>
      <c r="CA68" s="501"/>
      <c r="CB68" s="501"/>
      <c r="CC68" s="501"/>
      <c r="CD68" s="501"/>
      <c r="CE68" s="501"/>
      <c r="CF68" s="501"/>
      <c r="CG68" s="501"/>
      <c r="CH68" s="501"/>
      <c r="CI68" s="501"/>
      <c r="CJ68" s="501"/>
      <c r="CK68" s="501"/>
      <c r="CL68" s="501"/>
      <c r="CM68" s="501"/>
      <c r="CN68" s="501"/>
      <c r="CO68" s="502"/>
    </row>
    <row r="69" spans="2:93" ht="16.649999999999999" customHeight="1">
      <c r="B69" s="493" t="s">
        <v>4019</v>
      </c>
      <c r="C69" s="493"/>
      <c r="D69" s="493"/>
      <c r="E69" s="493"/>
      <c r="F69" s="703" t="s">
        <v>6017</v>
      </c>
      <c r="G69" s="703"/>
      <c r="H69" s="703"/>
      <c r="I69" s="703"/>
      <c r="J69" s="703"/>
      <c r="K69" s="703"/>
      <c r="L69" s="703"/>
      <c r="M69" s="703"/>
      <c r="N69" s="703"/>
      <c r="P69" s="380" t="str">
        <f>CONCATENATE(IFERROR(VLOOKUP(Q69,法术大全!$A:$W,2,FALSE),""),IFERROR(IF(VLOOKUP(Q69,法术大全!$A:$W,5,FALSE)="√"," ",""),""))</f>
        <v/>
      </c>
      <c r="Q69" s="525"/>
      <c r="R69" s="525"/>
      <c r="S69" s="525"/>
      <c r="T69" s="525"/>
      <c r="U69" s="525"/>
      <c r="V69" s="525"/>
      <c r="X69" s="380" t="str">
        <f>CONCATENATE(IFERROR(VLOOKUP(Y69,法术大全!$A:$W,2,FALSE),""),IFERROR(IF(VLOOKUP(Y69,法术大全!$A:$W,5,FALSE)="√"," ",""),""))</f>
        <v/>
      </c>
      <c r="Y69" s="525"/>
      <c r="Z69" s="525"/>
      <c r="AA69" s="525"/>
      <c r="AB69" s="525"/>
      <c r="AC69" s="525"/>
      <c r="AD69" s="525"/>
      <c r="AF69" s="380" t="str">
        <f>CONCATENATE(IFERROR(VLOOKUP(AG69,法术大全!$A:$W,2,FALSE),""),IFERROR(IF(VLOOKUP(AG69,法术大全!$A:$W,5,FALSE)="√"," ",""),""))</f>
        <v/>
      </c>
      <c r="AG69" s="525"/>
      <c r="AH69" s="525"/>
      <c r="AI69" s="525"/>
      <c r="AJ69" s="525"/>
      <c r="AK69" s="525"/>
      <c r="AL69" s="525"/>
      <c r="AN69" s="380" t="str">
        <f>CONCATENATE(IFERROR(VLOOKUP(AO69,法术大全!$A:$W,2,FALSE),""),IFERROR(IF(VLOOKUP(AO69,法术大全!$A:$W,5,FALSE)="√"," ",""),""))</f>
        <v/>
      </c>
      <c r="AO69" s="525"/>
      <c r="AP69" s="525"/>
      <c r="AQ69" s="525"/>
      <c r="AR69" s="525"/>
      <c r="AS69" s="525"/>
      <c r="AT69" s="525"/>
      <c r="AU69" s="3"/>
      <c r="AV69" s="3"/>
      <c r="AW69" s="373"/>
      <c r="AX69" s="516"/>
      <c r="AY69" s="516"/>
      <c r="AZ69" s="516"/>
      <c r="BA69" s="516"/>
      <c r="BB69" s="516"/>
      <c r="BC69" s="515"/>
      <c r="BD69" s="515"/>
      <c r="BE69" s="515"/>
      <c r="BF69" s="515"/>
      <c r="BG69" s="515"/>
      <c r="BH69" s="515"/>
      <c r="BI69" s="515"/>
      <c r="BJ69" s="515"/>
      <c r="BK69" s="515"/>
      <c r="BL69" s="515"/>
      <c r="BM69" s="515"/>
      <c r="BN69" s="515"/>
      <c r="BO69" s="515"/>
      <c r="BP69" s="515"/>
      <c r="BQ69" s="515"/>
      <c r="BR69" s="515"/>
      <c r="BT69" s="500"/>
      <c r="BU69" s="501"/>
      <c r="BV69" s="501"/>
      <c r="BW69" s="501"/>
      <c r="BX69" s="501"/>
      <c r="BY69" s="501"/>
      <c r="BZ69" s="501"/>
      <c r="CA69" s="501"/>
      <c r="CB69" s="501"/>
      <c r="CC69" s="501"/>
      <c r="CD69" s="501"/>
      <c r="CE69" s="501"/>
      <c r="CF69" s="501"/>
      <c r="CG69" s="501"/>
      <c r="CH69" s="501"/>
      <c r="CI69" s="501"/>
      <c r="CJ69" s="501"/>
      <c r="CK69" s="501"/>
      <c r="CL69" s="501"/>
      <c r="CM69" s="501"/>
      <c r="CN69" s="501"/>
      <c r="CO69" s="502"/>
    </row>
    <row r="70" spans="2:93" ht="16.649999999999999" customHeight="1">
      <c r="B70" s="543"/>
      <c r="C70" s="543"/>
      <c r="D70" s="543"/>
      <c r="E70" s="543"/>
      <c r="F70" s="700" t="str">
        <f>数据表!P14</f>
        <v/>
      </c>
      <c r="G70" s="701"/>
      <c r="H70" s="701"/>
      <c r="I70" s="701"/>
      <c r="J70" s="701"/>
      <c r="K70" s="701"/>
      <c r="L70" s="701"/>
      <c r="M70" s="701"/>
      <c r="N70" s="702"/>
      <c r="P70" s="380" t="str">
        <f>CONCATENATE(IFERROR(VLOOKUP(Q70,法术大全!$A:$W,2,FALSE),""),IFERROR(IF(VLOOKUP(Q70,法术大全!$A:$W,5,FALSE)="√"," ",""),""))</f>
        <v/>
      </c>
      <c r="Q70" s="525"/>
      <c r="R70" s="525"/>
      <c r="S70" s="525"/>
      <c r="T70" s="525"/>
      <c r="U70" s="525"/>
      <c r="V70" s="525"/>
      <c r="X70" s="380" t="str">
        <f>CONCATENATE(IFERROR(VLOOKUP(Y70,法术大全!$A:$W,2,FALSE),""),IFERROR(IF(VLOOKUP(Y70,法术大全!$A:$W,5,FALSE)="√"," ",""),""))</f>
        <v/>
      </c>
      <c r="Y70" s="525"/>
      <c r="Z70" s="525"/>
      <c r="AA70" s="525"/>
      <c r="AB70" s="525"/>
      <c r="AC70" s="525"/>
      <c r="AD70" s="525"/>
      <c r="AF70" s="380" t="str">
        <f>CONCATENATE(IFERROR(VLOOKUP(AG70,法术大全!$A:$W,2,FALSE),""),IFERROR(IF(VLOOKUP(AG70,法术大全!$A:$W,5,FALSE)="√"," ",""),""))</f>
        <v/>
      </c>
      <c r="AG70" s="525"/>
      <c r="AH70" s="525"/>
      <c r="AI70" s="525"/>
      <c r="AJ70" s="525"/>
      <c r="AK70" s="525"/>
      <c r="AL70" s="525"/>
      <c r="AN70" s="380" t="str">
        <f>CONCATENATE(IFERROR(VLOOKUP(AO70,法术大全!$A:$W,2,FALSE),""),IFERROR(IF(VLOOKUP(AO70,法术大全!$A:$W,5,FALSE)="√"," ",""),""))</f>
        <v/>
      </c>
      <c r="AO70" s="525"/>
      <c r="AP70" s="525"/>
      <c r="AQ70" s="525"/>
      <c r="AR70" s="525"/>
      <c r="AS70" s="525"/>
      <c r="AT70" s="525"/>
      <c r="AU70" s="3"/>
      <c r="AV70" s="3"/>
      <c r="AW70" s="374"/>
      <c r="AX70" s="489"/>
      <c r="AY70" s="489"/>
      <c r="AZ70" s="489"/>
      <c r="BA70" s="489"/>
      <c r="BB70" s="489"/>
      <c r="BC70" s="514"/>
      <c r="BD70" s="514"/>
      <c r="BE70" s="514"/>
      <c r="BF70" s="514"/>
      <c r="BG70" s="514"/>
      <c r="BH70" s="514"/>
      <c r="BI70" s="514"/>
      <c r="BJ70" s="514"/>
      <c r="BK70" s="514"/>
      <c r="BL70" s="514"/>
      <c r="BM70" s="514"/>
      <c r="BN70" s="514"/>
      <c r="BO70" s="514"/>
      <c r="BP70" s="514"/>
      <c r="BQ70" s="514"/>
      <c r="BR70" s="514"/>
      <c r="BT70" s="500"/>
      <c r="BU70" s="501"/>
      <c r="BV70" s="501"/>
      <c r="BW70" s="501"/>
      <c r="BX70" s="501"/>
      <c r="BY70" s="501"/>
      <c r="BZ70" s="501"/>
      <c r="CA70" s="501"/>
      <c r="CB70" s="501"/>
      <c r="CC70" s="501"/>
      <c r="CD70" s="501"/>
      <c r="CE70" s="501"/>
      <c r="CF70" s="501"/>
      <c r="CG70" s="501"/>
      <c r="CH70" s="501"/>
      <c r="CI70" s="501"/>
      <c r="CJ70" s="501"/>
      <c r="CK70" s="501"/>
      <c r="CL70" s="501"/>
      <c r="CM70" s="501"/>
      <c r="CN70" s="501"/>
      <c r="CO70" s="502"/>
    </row>
    <row r="71" spans="2:93" ht="16.649999999999999" customHeight="1">
      <c r="B71" s="528" t="s">
        <v>2420</v>
      </c>
      <c r="C71" s="528"/>
      <c r="D71" s="528"/>
      <c r="E71" s="528" t="s">
        <v>104</v>
      </c>
      <c r="F71" s="528"/>
      <c r="G71" s="528"/>
      <c r="H71" s="528"/>
      <c r="I71" s="528"/>
      <c r="J71" s="528" t="s">
        <v>5998</v>
      </c>
      <c r="K71" s="528"/>
      <c r="L71" s="528"/>
      <c r="P71" s="380" t="str">
        <f>CONCATENATE(IFERROR(VLOOKUP(Q71,法术大全!$A:$W,2,FALSE),""),IFERROR(IF(VLOOKUP(Q71,法术大全!$A:$W,5,FALSE)="√"," ",""),""))</f>
        <v/>
      </c>
      <c r="Q71" s="525"/>
      <c r="R71" s="525"/>
      <c r="S71" s="525"/>
      <c r="T71" s="525"/>
      <c r="U71" s="525"/>
      <c r="V71" s="525"/>
      <c r="X71" s="380" t="str">
        <f>CONCATENATE(IFERROR(VLOOKUP(Y71,法术大全!$A:$W,2,FALSE),""),IFERROR(IF(VLOOKUP(Y71,法术大全!$A:$W,5,FALSE)="√"," ",""),""))</f>
        <v/>
      </c>
      <c r="Y71" s="525"/>
      <c r="Z71" s="525"/>
      <c r="AA71" s="525"/>
      <c r="AB71" s="525"/>
      <c r="AC71" s="525"/>
      <c r="AD71" s="525"/>
      <c r="AF71" s="380" t="str">
        <f>CONCATENATE(IFERROR(VLOOKUP(AG71,法术大全!$A:$W,2,FALSE),""),IFERROR(IF(VLOOKUP(AG71,法术大全!$A:$W,5,FALSE)="√"," ",""),""))</f>
        <v/>
      </c>
      <c r="AG71" s="525"/>
      <c r="AH71" s="525"/>
      <c r="AI71" s="525"/>
      <c r="AJ71" s="525"/>
      <c r="AK71" s="525"/>
      <c r="AL71" s="525"/>
      <c r="AN71" s="380" t="str">
        <f>CONCATENATE(IFERROR(VLOOKUP(AO71,法术大全!$A:$W,2,FALSE),""),IFERROR(IF(VLOOKUP(AO71,法术大全!$A:$W,5,FALSE)="√"," ",""),""))</f>
        <v/>
      </c>
      <c r="AO71" s="525"/>
      <c r="AP71" s="525"/>
      <c r="AQ71" s="525"/>
      <c r="AR71" s="525"/>
      <c r="AS71" s="525"/>
      <c r="AT71" s="525"/>
      <c r="AU71" s="3"/>
      <c r="AV71" s="3"/>
      <c r="AW71" s="373"/>
      <c r="AX71" s="516"/>
      <c r="AY71" s="516"/>
      <c r="AZ71" s="516"/>
      <c r="BA71" s="516"/>
      <c r="BB71" s="516"/>
      <c r="BC71" s="515"/>
      <c r="BD71" s="515"/>
      <c r="BE71" s="515"/>
      <c r="BF71" s="515"/>
      <c r="BG71" s="515"/>
      <c r="BH71" s="515"/>
      <c r="BI71" s="515"/>
      <c r="BJ71" s="515"/>
      <c r="BK71" s="515"/>
      <c r="BL71" s="515"/>
      <c r="BM71" s="515"/>
      <c r="BN71" s="515"/>
      <c r="BO71" s="515"/>
      <c r="BP71" s="515"/>
      <c r="BQ71" s="515"/>
      <c r="BR71" s="515"/>
      <c r="BT71" s="500"/>
      <c r="BU71" s="501"/>
      <c r="BV71" s="501"/>
      <c r="BW71" s="501"/>
      <c r="BX71" s="501"/>
      <c r="BY71" s="501"/>
      <c r="BZ71" s="501"/>
      <c r="CA71" s="501"/>
      <c r="CB71" s="501"/>
      <c r="CC71" s="501"/>
      <c r="CD71" s="501"/>
      <c r="CE71" s="501"/>
      <c r="CF71" s="501"/>
      <c r="CG71" s="501"/>
      <c r="CH71" s="501"/>
      <c r="CI71" s="501"/>
      <c r="CJ71" s="501"/>
      <c r="CK71" s="501"/>
      <c r="CL71" s="501"/>
      <c r="CM71" s="501"/>
      <c r="CN71" s="501"/>
      <c r="CO71" s="502"/>
    </row>
    <row r="72" spans="2:93" ht="16.649999999999999" customHeight="1">
      <c r="B72" s="527">
        <v>1</v>
      </c>
      <c r="C72" s="527"/>
      <c r="D72" s="527"/>
      <c r="E72" s="529"/>
      <c r="F72" s="530"/>
      <c r="G72" s="381" t="s">
        <v>60</v>
      </c>
      <c r="H72" s="531" t="str">
        <f>职业!AJ16</f>
        <v/>
      </c>
      <c r="I72" s="532"/>
      <c r="J72" s="526">
        <v>2</v>
      </c>
      <c r="K72" s="526"/>
      <c r="L72" s="526"/>
      <c r="P72" s="380" t="str">
        <f>CONCATENATE(IFERROR(VLOOKUP(Q72,法术大全!$A:$W,2,FALSE),""),IFERROR(IF(VLOOKUP(Q72,法术大全!$A:$W,5,FALSE)="√"," ",""),""))</f>
        <v/>
      </c>
      <c r="Q72" s="525"/>
      <c r="R72" s="525"/>
      <c r="S72" s="525"/>
      <c r="T72" s="525"/>
      <c r="U72" s="525"/>
      <c r="V72" s="525"/>
      <c r="X72" s="380" t="str">
        <f>CONCATENATE(IFERROR(VLOOKUP(Y72,法术大全!$A:$W,2,FALSE),""),IFERROR(IF(VLOOKUP(Y72,法术大全!$A:$W,5,FALSE)="√"," ",""),""))</f>
        <v/>
      </c>
      <c r="Y72" s="525"/>
      <c r="Z72" s="525"/>
      <c r="AA72" s="525"/>
      <c r="AB72" s="525"/>
      <c r="AC72" s="525"/>
      <c r="AD72" s="525"/>
      <c r="AF72" s="380" t="str">
        <f>CONCATENATE(IFERROR(VLOOKUP(AG72,法术大全!$A:$W,2,FALSE),""),IFERROR(IF(VLOOKUP(AG72,法术大全!$A:$W,5,FALSE)="√"," ",""),""))</f>
        <v/>
      </c>
      <c r="AG72" s="525"/>
      <c r="AH72" s="525"/>
      <c r="AI72" s="525"/>
      <c r="AJ72" s="525"/>
      <c r="AK72" s="525"/>
      <c r="AL72" s="525"/>
      <c r="AN72" s="380" t="str">
        <f>CONCATENATE(IFERROR(VLOOKUP(AO72,法术大全!$A:$W,2,FALSE),""),IFERROR(IF(VLOOKUP(AO72,法术大全!$A:$W,5,FALSE)="√"," ",""),""))</f>
        <v/>
      </c>
      <c r="AO72" s="525"/>
      <c r="AP72" s="525"/>
      <c r="AQ72" s="525"/>
      <c r="AR72" s="525"/>
      <c r="AS72" s="525"/>
      <c r="AT72" s="525"/>
      <c r="AU72" s="3"/>
      <c r="AV72" s="3"/>
      <c r="AW72" s="374"/>
      <c r="AX72" s="489"/>
      <c r="AY72" s="489"/>
      <c r="AZ72" s="489"/>
      <c r="BA72" s="489"/>
      <c r="BB72" s="489"/>
      <c r="BC72" s="514"/>
      <c r="BD72" s="514"/>
      <c r="BE72" s="514"/>
      <c r="BF72" s="514"/>
      <c r="BG72" s="514"/>
      <c r="BH72" s="514"/>
      <c r="BI72" s="514"/>
      <c r="BJ72" s="514"/>
      <c r="BK72" s="514"/>
      <c r="BL72" s="514"/>
      <c r="BM72" s="514"/>
      <c r="BN72" s="514"/>
      <c r="BO72" s="514"/>
      <c r="BP72" s="514"/>
      <c r="BQ72" s="514"/>
      <c r="BR72" s="514"/>
      <c r="BT72" s="500"/>
      <c r="BU72" s="501"/>
      <c r="BV72" s="501"/>
      <c r="BW72" s="501"/>
      <c r="BX72" s="501"/>
      <c r="BY72" s="501"/>
      <c r="BZ72" s="501"/>
      <c r="CA72" s="501"/>
      <c r="CB72" s="501"/>
      <c r="CC72" s="501"/>
      <c r="CD72" s="501"/>
      <c r="CE72" s="501"/>
      <c r="CF72" s="501"/>
      <c r="CG72" s="501"/>
      <c r="CH72" s="501"/>
      <c r="CI72" s="501"/>
      <c r="CJ72" s="501"/>
      <c r="CK72" s="501"/>
      <c r="CL72" s="501"/>
      <c r="CM72" s="501"/>
      <c r="CN72" s="501"/>
      <c r="CO72" s="502"/>
    </row>
    <row r="73" spans="2:93" ht="16.649999999999999" customHeight="1">
      <c r="B73" s="527">
        <v>2</v>
      </c>
      <c r="C73" s="527"/>
      <c r="D73" s="527"/>
      <c r="E73" s="529"/>
      <c r="F73" s="530"/>
      <c r="G73" s="381" t="s">
        <v>60</v>
      </c>
      <c r="H73" s="531" t="str">
        <f>职业!AJ17</f>
        <v/>
      </c>
      <c r="I73" s="532"/>
      <c r="J73" s="526">
        <v>3</v>
      </c>
      <c r="K73" s="526"/>
      <c r="L73" s="526"/>
      <c r="P73" s="380" t="str">
        <f>CONCATENATE(IFERROR(VLOOKUP(Q73,法术大全!$A:$W,2,FALSE),""),IFERROR(IF(VLOOKUP(Q73,法术大全!$A:$W,5,FALSE)="√"," ",""),""))</f>
        <v/>
      </c>
      <c r="Q73" s="525"/>
      <c r="R73" s="525"/>
      <c r="S73" s="525"/>
      <c r="T73" s="525"/>
      <c r="U73" s="525"/>
      <c r="V73" s="525"/>
      <c r="X73" s="380" t="str">
        <f>CONCATENATE(IFERROR(VLOOKUP(Y73,法术大全!$A:$W,2,FALSE),""),IFERROR(IF(VLOOKUP(Y73,法术大全!$A:$W,5,FALSE)="√"," ",""),""))</f>
        <v/>
      </c>
      <c r="Y73" s="525"/>
      <c r="Z73" s="525"/>
      <c r="AA73" s="525"/>
      <c r="AB73" s="525"/>
      <c r="AC73" s="525"/>
      <c r="AD73" s="525"/>
      <c r="AF73" s="380" t="str">
        <f>CONCATENATE(IFERROR(VLOOKUP(AG73,法术大全!$A:$W,2,FALSE),""),IFERROR(IF(VLOOKUP(AG73,法术大全!$A:$W,5,FALSE)="√"," ",""),""))</f>
        <v/>
      </c>
      <c r="AG73" s="525"/>
      <c r="AH73" s="525"/>
      <c r="AI73" s="525"/>
      <c r="AJ73" s="525"/>
      <c r="AK73" s="525"/>
      <c r="AL73" s="525"/>
      <c r="AN73" s="380" t="str">
        <f>CONCATENATE(IFERROR(VLOOKUP(AO73,法术大全!$A:$W,2,FALSE),""),IFERROR(IF(VLOOKUP(AO73,法术大全!$A:$W,5,FALSE)="√"," ",""),""))</f>
        <v/>
      </c>
      <c r="AO73" s="525"/>
      <c r="AP73" s="525"/>
      <c r="AQ73" s="525"/>
      <c r="AR73" s="525"/>
      <c r="AS73" s="525"/>
      <c r="AT73" s="525"/>
      <c r="AW73" s="373"/>
      <c r="AX73" s="516"/>
      <c r="AY73" s="516"/>
      <c r="AZ73" s="516"/>
      <c r="BA73" s="516"/>
      <c r="BB73" s="516"/>
      <c r="BC73" s="515"/>
      <c r="BD73" s="515"/>
      <c r="BE73" s="515"/>
      <c r="BF73" s="515"/>
      <c r="BG73" s="515"/>
      <c r="BH73" s="515"/>
      <c r="BI73" s="515"/>
      <c r="BJ73" s="515"/>
      <c r="BK73" s="515"/>
      <c r="BL73" s="515"/>
      <c r="BM73" s="515"/>
      <c r="BN73" s="515"/>
      <c r="BO73" s="515"/>
      <c r="BP73" s="515"/>
      <c r="BQ73" s="515"/>
      <c r="BR73" s="515"/>
      <c r="BT73" s="500"/>
      <c r="BU73" s="501"/>
      <c r="BV73" s="501"/>
      <c r="BW73" s="501"/>
      <c r="BX73" s="501"/>
      <c r="BY73" s="501"/>
      <c r="BZ73" s="501"/>
      <c r="CA73" s="501"/>
      <c r="CB73" s="501"/>
      <c r="CC73" s="501"/>
      <c r="CD73" s="501"/>
      <c r="CE73" s="501"/>
      <c r="CF73" s="501"/>
      <c r="CG73" s="501"/>
      <c r="CH73" s="501"/>
      <c r="CI73" s="501"/>
      <c r="CJ73" s="501"/>
      <c r="CK73" s="501"/>
      <c r="CL73" s="501"/>
      <c r="CM73" s="501"/>
      <c r="CN73" s="501"/>
      <c r="CO73" s="502"/>
    </row>
    <row r="74" spans="2:93" ht="16.649999999999999" customHeight="1">
      <c r="B74" s="527">
        <v>3</v>
      </c>
      <c r="C74" s="527"/>
      <c r="D74" s="527"/>
      <c r="E74" s="529"/>
      <c r="F74" s="530"/>
      <c r="G74" s="381" t="s">
        <v>60</v>
      </c>
      <c r="H74" s="531" t="str">
        <f>职业!AJ18</f>
        <v/>
      </c>
      <c r="I74" s="532"/>
      <c r="J74" s="526">
        <v>5</v>
      </c>
      <c r="K74" s="526"/>
      <c r="L74" s="526"/>
      <c r="W74" s="3"/>
      <c r="Y74" s="3"/>
      <c r="Z74" s="3"/>
      <c r="AA74" s="3"/>
      <c r="AB74" s="3"/>
      <c r="AC74" s="3"/>
      <c r="AD74" s="3"/>
      <c r="AF74" s="380" t="str">
        <f>CONCATENATE(IFERROR(VLOOKUP(AG74,法术大全!$A:$W,2,FALSE),""),IFERROR(IF(VLOOKUP(AG74,法术大全!$A:$W,5,FALSE)="√"," ",""),""))</f>
        <v/>
      </c>
      <c r="AG74" s="525"/>
      <c r="AH74" s="525"/>
      <c r="AI74" s="525"/>
      <c r="AJ74" s="525"/>
      <c r="AK74" s="525"/>
      <c r="AL74" s="525"/>
      <c r="AN74" s="380" t="str">
        <f>CONCATENATE(IFERROR(VLOOKUP(AO74,法术大全!$A:$W,2,FALSE),""),IFERROR(IF(VLOOKUP(AO74,法术大全!$A:$W,5,FALSE)="√"," ",""),""))</f>
        <v/>
      </c>
      <c r="AO74" s="525"/>
      <c r="AP74" s="525"/>
      <c r="AQ74" s="525"/>
      <c r="AR74" s="525"/>
      <c r="AS74" s="525"/>
      <c r="AT74" s="525"/>
      <c r="AW74" s="374"/>
      <c r="AX74" s="489"/>
      <c r="AY74" s="489"/>
      <c r="AZ74" s="489"/>
      <c r="BA74" s="489"/>
      <c r="BB74" s="489"/>
      <c r="BC74" s="514"/>
      <c r="BD74" s="514"/>
      <c r="BE74" s="514"/>
      <c r="BF74" s="514"/>
      <c r="BG74" s="514"/>
      <c r="BH74" s="514"/>
      <c r="BI74" s="514"/>
      <c r="BJ74" s="514"/>
      <c r="BK74" s="514"/>
      <c r="BL74" s="514"/>
      <c r="BM74" s="514"/>
      <c r="BN74" s="514"/>
      <c r="BO74" s="514"/>
      <c r="BP74" s="514"/>
      <c r="BQ74" s="514"/>
      <c r="BR74" s="514"/>
      <c r="BT74" s="500"/>
      <c r="BU74" s="501"/>
      <c r="BV74" s="501"/>
      <c r="BW74" s="501"/>
      <c r="BX74" s="501"/>
      <c r="BY74" s="501"/>
      <c r="BZ74" s="501"/>
      <c r="CA74" s="501"/>
      <c r="CB74" s="501"/>
      <c r="CC74" s="501"/>
      <c r="CD74" s="501"/>
      <c r="CE74" s="501"/>
      <c r="CF74" s="501"/>
      <c r="CG74" s="501"/>
      <c r="CH74" s="501"/>
      <c r="CI74" s="501"/>
      <c r="CJ74" s="501"/>
      <c r="CK74" s="501"/>
      <c r="CL74" s="501"/>
      <c r="CM74" s="501"/>
      <c r="CN74" s="501"/>
      <c r="CO74" s="502"/>
    </row>
    <row r="75" spans="2:93" ht="16.649999999999999" customHeight="1">
      <c r="B75" s="527">
        <v>4</v>
      </c>
      <c r="C75" s="527"/>
      <c r="D75" s="527"/>
      <c r="E75" s="529"/>
      <c r="F75" s="530"/>
      <c r="G75" s="381" t="s">
        <v>60</v>
      </c>
      <c r="H75" s="531" t="str">
        <f>职业!AJ19</f>
        <v/>
      </c>
      <c r="I75" s="532"/>
      <c r="J75" s="526">
        <v>6</v>
      </c>
      <c r="K75" s="526"/>
      <c r="L75" s="526"/>
      <c r="P75" s="533" t="s">
        <v>4010</v>
      </c>
      <c r="Q75" s="533"/>
      <c r="R75" s="533"/>
      <c r="S75" s="533"/>
      <c r="T75" s="533"/>
      <c r="U75" s="533"/>
      <c r="V75" s="533"/>
      <c r="W75" s="533"/>
      <c r="X75" s="533"/>
      <c r="Y75" s="533"/>
      <c r="Z75" s="533"/>
      <c r="AA75" s="533"/>
      <c r="AB75" s="533"/>
      <c r="AC75" s="533"/>
      <c r="AD75" s="533"/>
      <c r="AF75" s="380" t="str">
        <f>CONCATENATE(IFERROR(VLOOKUP(AG75,法术大全!$A:$W,2,FALSE),""),IFERROR(IF(VLOOKUP(AG75,法术大全!$A:$W,5,FALSE)="√"," ",""),""))</f>
        <v/>
      </c>
      <c r="AG75" s="525"/>
      <c r="AH75" s="525"/>
      <c r="AI75" s="525"/>
      <c r="AJ75" s="525"/>
      <c r="AK75" s="525"/>
      <c r="AL75" s="525"/>
      <c r="AN75" s="380" t="str">
        <f>CONCATENATE(IFERROR(VLOOKUP(AO75,法术大全!$A:$W,2,FALSE),""),IFERROR(IF(VLOOKUP(AO75,法术大全!$A:$W,5,FALSE)="√"," ",""),""))</f>
        <v/>
      </c>
      <c r="AO75" s="525"/>
      <c r="AP75" s="525"/>
      <c r="AQ75" s="525"/>
      <c r="AR75" s="525"/>
      <c r="AS75" s="525"/>
      <c r="AT75" s="525"/>
      <c r="AW75" s="373"/>
      <c r="AX75" s="516"/>
      <c r="AY75" s="516"/>
      <c r="AZ75" s="516"/>
      <c r="BA75" s="516"/>
      <c r="BB75" s="516"/>
      <c r="BC75" s="515"/>
      <c r="BD75" s="515"/>
      <c r="BE75" s="515"/>
      <c r="BF75" s="515"/>
      <c r="BG75" s="515"/>
      <c r="BH75" s="515"/>
      <c r="BI75" s="515"/>
      <c r="BJ75" s="515"/>
      <c r="BK75" s="515"/>
      <c r="BL75" s="515"/>
      <c r="BM75" s="515"/>
      <c r="BN75" s="515"/>
      <c r="BO75" s="515"/>
      <c r="BP75" s="515"/>
      <c r="BQ75" s="515"/>
      <c r="BR75" s="515"/>
      <c r="BT75" s="500"/>
      <c r="BU75" s="501"/>
      <c r="BV75" s="501"/>
      <c r="BW75" s="501"/>
      <c r="BX75" s="501"/>
      <c r="BY75" s="501"/>
      <c r="BZ75" s="501"/>
      <c r="CA75" s="501"/>
      <c r="CB75" s="501"/>
      <c r="CC75" s="501"/>
      <c r="CD75" s="501"/>
      <c r="CE75" s="501"/>
      <c r="CF75" s="501"/>
      <c r="CG75" s="501"/>
      <c r="CH75" s="501"/>
      <c r="CI75" s="501"/>
      <c r="CJ75" s="501"/>
      <c r="CK75" s="501"/>
      <c r="CL75" s="501"/>
      <c r="CM75" s="501"/>
      <c r="CN75" s="501"/>
      <c r="CO75" s="502"/>
    </row>
    <row r="76" spans="2:93" ht="16.649999999999999" customHeight="1">
      <c r="B76" s="527">
        <v>5</v>
      </c>
      <c r="C76" s="527"/>
      <c r="D76" s="527"/>
      <c r="E76" s="529"/>
      <c r="F76" s="530"/>
      <c r="G76" s="381" t="s">
        <v>60</v>
      </c>
      <c r="H76" s="531" t="str">
        <f>职业!AJ20</f>
        <v/>
      </c>
      <c r="I76" s="532"/>
      <c r="J76" s="526">
        <v>7</v>
      </c>
      <c r="K76" s="526"/>
      <c r="L76" s="526"/>
      <c r="P76" s="432" t="s">
        <v>10</v>
      </c>
      <c r="Q76" s="481" t="s">
        <v>125</v>
      </c>
      <c r="R76" s="481"/>
      <c r="S76" s="481"/>
      <c r="T76" s="481"/>
      <c r="U76" s="481"/>
      <c r="V76" s="481"/>
      <c r="W76" s="440"/>
      <c r="X76" s="432" t="s">
        <v>10</v>
      </c>
      <c r="Y76" s="481" t="s">
        <v>125</v>
      </c>
      <c r="Z76" s="481"/>
      <c r="AA76" s="481"/>
      <c r="AB76" s="481"/>
      <c r="AC76" s="481"/>
      <c r="AD76" s="481"/>
      <c r="AF76" s="380" t="str">
        <f>CONCATENATE(IFERROR(VLOOKUP(AG76,法术大全!$A:$W,2,FALSE),""),IFERROR(IF(VLOOKUP(AG76,法术大全!$A:$W,5,FALSE)="√"," ",""),""))</f>
        <v/>
      </c>
      <c r="AG76" s="525"/>
      <c r="AH76" s="525"/>
      <c r="AI76" s="525"/>
      <c r="AJ76" s="525"/>
      <c r="AK76" s="525"/>
      <c r="AL76" s="525"/>
      <c r="AN76" s="380" t="str">
        <f>CONCATENATE(IFERROR(VLOOKUP(AO76,法术大全!$A:$W,2,FALSE),""),IFERROR(IF(VLOOKUP(AO76,法术大全!$A:$W,5,FALSE)="√"," ",""),""))</f>
        <v/>
      </c>
      <c r="AO76" s="525"/>
      <c r="AP76" s="525"/>
      <c r="AQ76" s="525"/>
      <c r="AR76" s="525"/>
      <c r="AS76" s="525"/>
      <c r="AT76" s="525"/>
      <c r="AW76" s="374"/>
      <c r="AX76" s="489"/>
      <c r="AY76" s="489"/>
      <c r="AZ76" s="489"/>
      <c r="BA76" s="489"/>
      <c r="BB76" s="489"/>
      <c r="BC76" s="514"/>
      <c r="BD76" s="514"/>
      <c r="BE76" s="514"/>
      <c r="BF76" s="514"/>
      <c r="BG76" s="514"/>
      <c r="BH76" s="514"/>
      <c r="BI76" s="514"/>
      <c r="BJ76" s="514"/>
      <c r="BK76" s="514"/>
      <c r="BL76" s="514"/>
      <c r="BM76" s="514"/>
      <c r="BN76" s="514"/>
      <c r="BO76" s="514"/>
      <c r="BP76" s="514"/>
      <c r="BQ76" s="514"/>
      <c r="BR76" s="514"/>
      <c r="BT76" s="500"/>
      <c r="BU76" s="501"/>
      <c r="BV76" s="501"/>
      <c r="BW76" s="501"/>
      <c r="BX76" s="501"/>
      <c r="BY76" s="501"/>
      <c r="BZ76" s="501"/>
      <c r="CA76" s="501"/>
      <c r="CB76" s="501"/>
      <c r="CC76" s="501"/>
      <c r="CD76" s="501"/>
      <c r="CE76" s="501"/>
      <c r="CF76" s="501"/>
      <c r="CG76" s="501"/>
      <c r="CH76" s="501"/>
      <c r="CI76" s="501"/>
      <c r="CJ76" s="501"/>
      <c r="CK76" s="501"/>
      <c r="CL76" s="501"/>
      <c r="CM76" s="501"/>
      <c r="CN76" s="501"/>
      <c r="CO76" s="502"/>
    </row>
    <row r="77" spans="2:93" ht="16.649999999999999" customHeight="1">
      <c r="B77" s="527">
        <v>6</v>
      </c>
      <c r="C77" s="527"/>
      <c r="D77" s="527"/>
      <c r="E77" s="529"/>
      <c r="F77" s="530"/>
      <c r="G77" s="381" t="s">
        <v>60</v>
      </c>
      <c r="H77" s="531" t="str">
        <f>职业!AJ21</f>
        <v/>
      </c>
      <c r="I77" s="532"/>
      <c r="J77" s="526">
        <v>9</v>
      </c>
      <c r="K77" s="526"/>
      <c r="L77" s="526"/>
      <c r="P77" s="380" t="str">
        <f>CONCATENATE(IFERROR(VLOOKUP(Q77,法术大全!$A:$W,2,FALSE),""),IFERROR(IF(VLOOKUP(Q77,法术大全!$A:$W,5,FALSE)="√"," ",""),""))</f>
        <v/>
      </c>
      <c r="Q77" s="525"/>
      <c r="R77" s="525"/>
      <c r="S77" s="525"/>
      <c r="T77" s="525"/>
      <c r="U77" s="525"/>
      <c r="V77" s="525"/>
      <c r="W77" s="3"/>
      <c r="X77" s="380" t="str">
        <f>CONCATENATE(IFERROR(VLOOKUP(Y77,法术大全!$A:$W,2,FALSE),""),IFERROR(IF(VLOOKUP(Y77,法术大全!$A:$W,5,FALSE)="√"," ",""),""))</f>
        <v/>
      </c>
      <c r="Y77" s="525" t="s">
        <v>2501</v>
      </c>
      <c r="Z77" s="525"/>
      <c r="AA77" s="525"/>
      <c r="AB77" s="525"/>
      <c r="AC77" s="525"/>
      <c r="AD77" s="525"/>
      <c r="AF77" s="380" t="str">
        <f>CONCATENATE(IFERROR(VLOOKUP(AG77,法术大全!$A:$W,2,FALSE),""),IFERROR(IF(VLOOKUP(AG77,法术大全!$A:$W,5,FALSE)="√"," ",""),""))</f>
        <v/>
      </c>
      <c r="AG77" s="525"/>
      <c r="AH77" s="525"/>
      <c r="AI77" s="525"/>
      <c r="AJ77" s="525"/>
      <c r="AK77" s="525"/>
      <c r="AL77" s="525"/>
      <c r="AN77" s="380" t="str">
        <f>CONCATENATE(IFERROR(VLOOKUP(AO77,法术大全!$A:$W,2,FALSE),""),IFERROR(IF(VLOOKUP(AO77,法术大全!$A:$W,5,FALSE)="√"," ",""),""))</f>
        <v/>
      </c>
      <c r="AO77" s="525"/>
      <c r="AP77" s="525"/>
      <c r="AQ77" s="525"/>
      <c r="AR77" s="525"/>
      <c r="AS77" s="525"/>
      <c r="AT77" s="525"/>
      <c r="AU77" s="3"/>
      <c r="AV77" s="3"/>
      <c r="AW77" s="373"/>
      <c r="AX77" s="516"/>
      <c r="AY77" s="516"/>
      <c r="AZ77" s="516"/>
      <c r="BA77" s="516"/>
      <c r="BB77" s="516"/>
      <c r="BC77" s="515"/>
      <c r="BD77" s="515"/>
      <c r="BE77" s="515"/>
      <c r="BF77" s="515"/>
      <c r="BG77" s="515"/>
      <c r="BH77" s="515"/>
      <c r="BI77" s="515"/>
      <c r="BJ77" s="515"/>
      <c r="BK77" s="515"/>
      <c r="BL77" s="515"/>
      <c r="BM77" s="515"/>
      <c r="BN77" s="515"/>
      <c r="BO77" s="515"/>
      <c r="BP77" s="515"/>
      <c r="BQ77" s="515"/>
      <c r="BR77" s="515"/>
      <c r="BT77" s="503"/>
      <c r="BU77" s="504"/>
      <c r="BV77" s="504"/>
      <c r="BW77" s="504"/>
      <c r="BX77" s="504"/>
      <c r="BY77" s="504"/>
      <c r="BZ77" s="504"/>
      <c r="CA77" s="504"/>
      <c r="CB77" s="504"/>
      <c r="CC77" s="504"/>
      <c r="CD77" s="504"/>
      <c r="CE77" s="504"/>
      <c r="CF77" s="504"/>
      <c r="CG77" s="504"/>
      <c r="CH77" s="504"/>
      <c r="CI77" s="504"/>
      <c r="CJ77" s="504"/>
      <c r="CK77" s="504"/>
      <c r="CL77" s="504"/>
      <c r="CM77" s="504"/>
      <c r="CN77" s="504"/>
      <c r="CO77" s="505"/>
    </row>
    <row r="78" spans="2:93" ht="16.649999999999999" customHeight="1">
      <c r="B78" s="527">
        <v>7</v>
      </c>
      <c r="C78" s="527"/>
      <c r="D78" s="527"/>
      <c r="E78" s="529"/>
      <c r="F78" s="530"/>
      <c r="G78" s="381" t="s">
        <v>60</v>
      </c>
      <c r="H78" s="531" t="str">
        <f>职业!AJ22</f>
        <v/>
      </c>
      <c r="I78" s="532"/>
      <c r="J78" s="526">
        <v>10</v>
      </c>
      <c r="K78" s="526"/>
      <c r="L78" s="526"/>
      <c r="P78" s="380" t="str">
        <f>CONCATENATE(IFERROR(VLOOKUP(Q78,法术大全!$A:$W,2,FALSE),""),IFERROR(IF(VLOOKUP(Q78,法术大全!$A:$W,5,FALSE)="√"," ",""),""))</f>
        <v/>
      </c>
      <c r="Q78" s="525"/>
      <c r="R78" s="525"/>
      <c r="S78" s="525"/>
      <c r="T78" s="525"/>
      <c r="U78" s="525"/>
      <c r="V78" s="525"/>
      <c r="W78" s="3"/>
      <c r="X78" s="380" t="str">
        <f>CONCATENATE(IFERROR(VLOOKUP(Y78,法术大全!$A:$W,2,FALSE),""),IFERROR(IF(VLOOKUP(Y78,法术大全!$A:$W,5,FALSE)="√"," ",""),""))</f>
        <v/>
      </c>
      <c r="Y78" s="525"/>
      <c r="Z78" s="525"/>
      <c r="AA78" s="525"/>
      <c r="AB78" s="525"/>
      <c r="AC78" s="525"/>
      <c r="AD78" s="525"/>
      <c r="AF78" s="380" t="str">
        <f>CONCATENATE(IFERROR(VLOOKUP(AG78,法术大全!$A:$W,2,FALSE),""),IFERROR(IF(VLOOKUP(AG78,法术大全!$A:$W,5,FALSE)="√"," ",""),""))</f>
        <v/>
      </c>
      <c r="AG78" s="525"/>
      <c r="AH78" s="525"/>
      <c r="AI78" s="525"/>
      <c r="AJ78" s="525"/>
      <c r="AK78" s="525"/>
      <c r="AL78" s="525"/>
      <c r="AN78" s="380" t="str">
        <f>CONCATENATE(IFERROR(VLOOKUP(AO78,法术大全!$A:$W,2,FALSE),""),IFERROR(IF(VLOOKUP(AO78,法术大全!$A:$W,5,FALSE)="√"," ",""),""))</f>
        <v/>
      </c>
      <c r="AO78" s="525"/>
      <c r="AP78" s="525"/>
      <c r="AQ78" s="525"/>
      <c r="AR78" s="525"/>
      <c r="AS78" s="525"/>
      <c r="AT78" s="525"/>
      <c r="AU78" s="3"/>
      <c r="AV78" s="3"/>
    </row>
    <row r="79" spans="2:93" ht="16.649999999999999" customHeight="1">
      <c r="B79" s="527">
        <v>8</v>
      </c>
      <c r="C79" s="527"/>
      <c r="D79" s="527"/>
      <c r="E79" s="529"/>
      <c r="F79" s="530"/>
      <c r="G79" s="381" t="s">
        <v>60</v>
      </c>
      <c r="H79" s="531" t="str">
        <f>职业!AJ23</f>
        <v/>
      </c>
      <c r="I79" s="532"/>
      <c r="J79" s="526">
        <v>11</v>
      </c>
      <c r="K79" s="526"/>
      <c r="L79" s="526"/>
      <c r="P79" s="380" t="str">
        <f>CONCATENATE(IFERROR(VLOOKUP(Q79,法术大全!$A:$W,2,FALSE),""),IFERROR(IF(VLOOKUP(Q79,法术大全!$A:$W,5,FALSE)="√"," ",""),""))</f>
        <v/>
      </c>
      <c r="Q79" s="525"/>
      <c r="R79" s="525"/>
      <c r="S79" s="525"/>
      <c r="T79" s="525"/>
      <c r="U79" s="525"/>
      <c r="V79" s="525"/>
      <c r="W79" s="3"/>
      <c r="X79" s="380" t="str">
        <f>CONCATENATE(IFERROR(VLOOKUP(Y79,法术大全!$A:$W,2,FALSE),""),IFERROR(IF(VLOOKUP(Y79,法术大全!$A:$W,5,FALSE)="√"," ",""),""))</f>
        <v/>
      </c>
      <c r="Y79" s="525"/>
      <c r="Z79" s="525"/>
      <c r="AA79" s="525"/>
      <c r="AB79" s="525"/>
      <c r="AC79" s="525"/>
      <c r="AD79" s="525"/>
      <c r="AF79" s="380" t="str">
        <f>CONCATENATE(IFERROR(VLOOKUP(AG79,法术大全!$A:$W,2,FALSE),""),IFERROR(IF(VLOOKUP(AG79,法术大全!$A:$W,5,FALSE)="√"," ",""),""))</f>
        <v/>
      </c>
      <c r="AG79" s="525"/>
      <c r="AH79" s="525"/>
      <c r="AI79" s="525"/>
      <c r="AJ79" s="525"/>
      <c r="AK79" s="525"/>
      <c r="AL79" s="525"/>
      <c r="AN79" s="380" t="str">
        <f>CONCATENATE(IFERROR(VLOOKUP(AO79,法术大全!$A:$W,2,FALSE),""),IFERROR(IF(VLOOKUP(AO79,法术大全!$A:$W,5,FALSE)="√"," ",""),""))</f>
        <v/>
      </c>
      <c r="AO79" s="525"/>
      <c r="AP79" s="525"/>
      <c r="AQ79" s="525"/>
      <c r="AR79" s="525"/>
      <c r="AS79" s="525"/>
      <c r="AT79" s="525"/>
      <c r="AU79" s="3"/>
      <c r="AV79" s="3"/>
      <c r="AW79" s="548"/>
      <c r="AX79" s="534"/>
      <c r="AY79" s="534"/>
      <c r="AZ79" s="534"/>
      <c r="BA79" s="534"/>
      <c r="BB79" s="534"/>
      <c r="BC79" s="534"/>
      <c r="BD79" s="534"/>
      <c r="BE79" s="534"/>
      <c r="BF79" s="534"/>
      <c r="BG79" s="534"/>
      <c r="BH79" s="534"/>
      <c r="BI79" s="534"/>
      <c r="BJ79" s="534"/>
      <c r="BK79" s="534"/>
      <c r="BL79" s="534" t="s">
        <v>134</v>
      </c>
      <c r="BM79" s="534"/>
      <c r="BN79" s="534"/>
      <c r="BO79" s="534"/>
      <c r="BP79" s="534"/>
      <c r="BQ79" s="534"/>
      <c r="BR79" s="534"/>
      <c r="BS79" s="534"/>
      <c r="BT79" s="534"/>
      <c r="BU79" s="534"/>
      <c r="BV79" s="534"/>
      <c r="BW79" s="534"/>
      <c r="BX79" s="534"/>
      <c r="BY79" s="534"/>
      <c r="BZ79" s="534"/>
      <c r="CA79" s="534"/>
      <c r="CB79" s="534"/>
      <c r="CC79" s="534"/>
      <c r="CD79" s="534"/>
      <c r="CE79" s="534"/>
      <c r="CF79" s="534"/>
      <c r="CG79" s="534"/>
      <c r="CH79" s="534"/>
      <c r="CI79" s="534"/>
      <c r="CJ79" s="534"/>
      <c r="CK79" s="534"/>
      <c r="CL79" s="534"/>
      <c r="CM79" s="534"/>
      <c r="CN79" s="534"/>
      <c r="CO79" s="535"/>
    </row>
    <row r="80" spans="2:93" ht="16.649999999999999" customHeight="1">
      <c r="B80" s="527">
        <v>9</v>
      </c>
      <c r="C80" s="527"/>
      <c r="D80" s="527"/>
      <c r="E80" s="529"/>
      <c r="F80" s="530"/>
      <c r="G80" s="381" t="s">
        <v>60</v>
      </c>
      <c r="H80" s="531" t="str">
        <f>职业!AJ24</f>
        <v/>
      </c>
      <c r="I80" s="532"/>
      <c r="J80" s="526">
        <v>13</v>
      </c>
      <c r="K80" s="526"/>
      <c r="L80" s="526"/>
      <c r="P80" s="380" t="str">
        <f>CONCATENATE(IFERROR(VLOOKUP(Q80,法术大全!$A:$W,2,FALSE),""),IFERROR(IF(VLOOKUP(Q80,法术大全!$A:$W,5,FALSE)="√"," ",""),""))</f>
        <v/>
      </c>
      <c r="Q80" s="525"/>
      <c r="R80" s="525"/>
      <c r="S80" s="525"/>
      <c r="T80" s="525"/>
      <c r="U80" s="525"/>
      <c r="V80" s="525"/>
      <c r="W80" s="3"/>
      <c r="X80" s="380" t="str">
        <f>CONCATENATE(IFERROR(VLOOKUP(Y80,法术大全!$A:$W,2,FALSE),""),IFERROR(IF(VLOOKUP(Y80,法术大全!$A:$W,5,FALSE)="√"," ",""),""))</f>
        <v/>
      </c>
      <c r="Y80" s="525"/>
      <c r="Z80" s="525"/>
      <c r="AA80" s="525"/>
      <c r="AB80" s="525"/>
      <c r="AC80" s="525"/>
      <c r="AD80" s="525"/>
      <c r="AF80" s="380" t="str">
        <f>CONCATENATE(IFERROR(VLOOKUP(AG80,法术大全!$A:$W,2,FALSE),""),IFERROR(IF(VLOOKUP(AG80,法术大全!$A:$W,5,FALSE)="√"," ",""),""))</f>
        <v/>
      </c>
      <c r="AG80" s="525"/>
      <c r="AH80" s="525"/>
      <c r="AI80" s="525"/>
      <c r="AJ80" s="525"/>
      <c r="AK80" s="525"/>
      <c r="AL80" s="525"/>
      <c r="AN80" s="380" t="str">
        <f>CONCATENATE(IFERROR(VLOOKUP(AO80,法术大全!$A:$W,2,FALSE),""),IFERROR(IF(VLOOKUP(AO80,法术大全!$A:$W,5,FALSE)="√"," ",""),""))</f>
        <v/>
      </c>
      <c r="AO80" s="525"/>
      <c r="AP80" s="525"/>
      <c r="AQ80" s="525"/>
      <c r="AR80" s="525"/>
      <c r="AS80" s="525"/>
      <c r="AT80" s="525"/>
      <c r="AU80" s="3"/>
      <c r="AV80" s="3"/>
      <c r="AW80" s="549"/>
      <c r="AX80" s="549"/>
      <c r="AY80" s="549"/>
      <c r="AZ80" s="549"/>
      <c r="BA80" s="549"/>
      <c r="BB80" s="549"/>
      <c r="BC80" s="549"/>
      <c r="BD80" s="549"/>
      <c r="BE80" s="549"/>
      <c r="BF80" s="549"/>
      <c r="BG80" s="549"/>
      <c r="BH80" s="549"/>
      <c r="BI80" s="549"/>
      <c r="BJ80" s="549"/>
      <c r="BK80" s="549"/>
      <c r="BL80" s="549"/>
      <c r="BM80" s="549"/>
      <c r="BN80" s="549"/>
      <c r="BO80" s="549"/>
      <c r="BP80" s="549"/>
      <c r="BQ80" s="549"/>
      <c r="BR80" s="549"/>
      <c r="BS80" s="549"/>
      <c r="BT80" s="549"/>
      <c r="BU80" s="549"/>
      <c r="BV80" s="549"/>
      <c r="BW80" s="549"/>
      <c r="BX80" s="549"/>
      <c r="BY80" s="549"/>
      <c r="BZ80" s="549"/>
      <c r="CA80" s="549"/>
      <c r="CB80" s="549"/>
      <c r="CC80" s="549"/>
      <c r="CD80" s="549"/>
      <c r="CE80" s="549"/>
      <c r="CF80" s="549"/>
      <c r="CG80" s="549"/>
      <c r="CH80" s="549"/>
      <c r="CI80" s="549"/>
      <c r="CJ80" s="549"/>
      <c r="CK80" s="549"/>
      <c r="CL80" s="549"/>
      <c r="CM80" s="549"/>
      <c r="CN80" s="549"/>
      <c r="CO80" s="549"/>
    </row>
    <row r="81" spans="2:93" ht="16.649999999999999" customHeight="1">
      <c r="B81" s="527" t="s">
        <v>6055</v>
      </c>
      <c r="C81" s="527"/>
      <c r="D81" s="527"/>
      <c r="E81" s="527"/>
      <c r="F81" s="543"/>
      <c r="G81" s="561"/>
      <c r="H81" s="561"/>
      <c r="I81" s="381" t="s">
        <v>60</v>
      </c>
      <c r="J81" s="699">
        <f>职业!AF24</f>
        <v>0</v>
      </c>
      <c r="K81" s="699"/>
      <c r="L81" s="543"/>
      <c r="P81" s="380" t="str">
        <f>CONCATENATE(IFERROR(VLOOKUP(Q81,法术大全!$A:$W,2,FALSE),""),IFERROR(IF(VLOOKUP(Q81,法术大全!$A:$W,5,FALSE)="√"," ",""),""))</f>
        <v/>
      </c>
      <c r="Q81" s="525"/>
      <c r="R81" s="525"/>
      <c r="S81" s="525"/>
      <c r="T81" s="525"/>
      <c r="U81" s="525"/>
      <c r="V81" s="525"/>
      <c r="X81" s="380" t="str">
        <f>CONCATENATE(IFERROR(VLOOKUP(Y81,法术大全!$A:$W,2,FALSE),""),IFERROR(IF(VLOOKUP(Y81,法术大全!$A:$W,5,FALSE)="√"," ",""),""))</f>
        <v/>
      </c>
      <c r="Y81" s="525"/>
      <c r="Z81" s="525"/>
      <c r="AA81" s="525"/>
      <c r="AB81" s="525"/>
      <c r="AC81" s="525"/>
      <c r="AD81" s="525"/>
      <c r="AE81" s="3"/>
      <c r="AF81" s="380" t="str">
        <f>CONCATENATE(IFERROR(VLOOKUP(AG81,法术大全!$A:$W,2,FALSE),""),IFERROR(IF(VLOOKUP(AG81,法术大全!$A:$W,5,FALSE)="√"," ",""),""))</f>
        <v/>
      </c>
      <c r="AG81" s="525"/>
      <c r="AH81" s="525"/>
      <c r="AI81" s="525"/>
      <c r="AJ81" s="525"/>
      <c r="AK81" s="525"/>
      <c r="AL81" s="525"/>
      <c r="AM81" s="3"/>
      <c r="AN81" s="380" t="str">
        <f>CONCATENATE(IFERROR(VLOOKUP(AO81,法术大全!$A:$W,2,FALSE),""),IFERROR(IF(VLOOKUP(AO81,法术大全!$A:$W,5,FALSE)="√"," ",""),""))</f>
        <v/>
      </c>
      <c r="AO81" s="525"/>
      <c r="AP81" s="525"/>
      <c r="AQ81" s="525"/>
      <c r="AR81" s="525"/>
      <c r="AS81" s="525"/>
      <c r="AT81" s="525"/>
      <c r="AU81" s="3"/>
      <c r="AV81" s="3"/>
      <c r="AW81" s="549"/>
      <c r="AX81" s="549"/>
      <c r="AY81" s="549"/>
      <c r="AZ81" s="549"/>
      <c r="BA81" s="549"/>
      <c r="BB81" s="549"/>
      <c r="BC81" s="549"/>
      <c r="BD81" s="549"/>
      <c r="BE81" s="549"/>
      <c r="BF81" s="549"/>
      <c r="BG81" s="549"/>
      <c r="BH81" s="549"/>
      <c r="BI81" s="549"/>
      <c r="BJ81" s="549"/>
      <c r="BK81" s="549"/>
      <c r="BL81" s="549"/>
      <c r="BM81" s="549"/>
      <c r="BN81" s="549"/>
      <c r="BO81" s="549"/>
      <c r="BP81" s="549"/>
      <c r="BQ81" s="549"/>
      <c r="BR81" s="549"/>
      <c r="BS81" s="549"/>
      <c r="BT81" s="549"/>
      <c r="BU81" s="549"/>
      <c r="BV81" s="549"/>
      <c r="BW81" s="549"/>
      <c r="BX81" s="549"/>
      <c r="BY81" s="549"/>
      <c r="BZ81" s="549"/>
      <c r="CA81" s="549"/>
      <c r="CB81" s="549"/>
      <c r="CC81" s="549"/>
      <c r="CD81" s="549"/>
      <c r="CE81" s="549"/>
      <c r="CF81" s="549"/>
      <c r="CG81" s="549"/>
      <c r="CH81" s="549"/>
      <c r="CI81" s="549"/>
      <c r="CJ81" s="549"/>
      <c r="CK81" s="549"/>
      <c r="CL81" s="549"/>
      <c r="CM81" s="549"/>
      <c r="CN81" s="549"/>
      <c r="CO81" s="549"/>
    </row>
    <row r="82" spans="2:93" ht="16.649999999999999" customHeight="1">
      <c r="B82" s="3"/>
      <c r="C82" s="3"/>
      <c r="D82" s="3"/>
      <c r="E82" s="3"/>
      <c r="F82" s="3"/>
      <c r="G82" s="3"/>
      <c r="H82" s="3"/>
      <c r="I82" s="3"/>
      <c r="J82" s="3"/>
      <c r="AO82" s="3"/>
      <c r="AP82" s="3"/>
      <c r="AQ82" s="3"/>
      <c r="AR82" s="3"/>
      <c r="AS82" s="3"/>
      <c r="AT82" s="3"/>
      <c r="AU82" s="3"/>
      <c r="AV82" s="3"/>
      <c r="AW82" s="549"/>
      <c r="AX82" s="549"/>
      <c r="AY82" s="549"/>
      <c r="AZ82" s="549"/>
      <c r="BA82" s="549"/>
      <c r="BB82" s="549"/>
      <c r="BC82" s="549"/>
      <c r="BD82" s="549"/>
      <c r="BE82" s="549"/>
      <c r="BF82" s="549"/>
      <c r="BG82" s="549"/>
      <c r="BH82" s="549"/>
      <c r="BI82" s="549"/>
      <c r="BJ82" s="549"/>
      <c r="BK82" s="549"/>
      <c r="BL82" s="549"/>
      <c r="BM82" s="549"/>
      <c r="BN82" s="549"/>
      <c r="BO82" s="549"/>
      <c r="BP82" s="549"/>
      <c r="BQ82" s="549"/>
      <c r="BR82" s="549"/>
      <c r="BS82" s="549"/>
      <c r="BT82" s="549"/>
      <c r="BU82" s="549"/>
      <c r="BV82" s="549"/>
      <c r="BW82" s="549"/>
      <c r="BX82" s="549"/>
      <c r="BY82" s="549"/>
      <c r="BZ82" s="549"/>
      <c r="CA82" s="549"/>
      <c r="CB82" s="549"/>
      <c r="CC82" s="549"/>
      <c r="CD82" s="549"/>
      <c r="CE82" s="549"/>
      <c r="CF82" s="549"/>
      <c r="CG82" s="549"/>
      <c r="CH82" s="549"/>
      <c r="CI82" s="549"/>
      <c r="CJ82" s="549"/>
      <c r="CK82" s="549"/>
      <c r="CL82" s="549"/>
      <c r="CM82" s="549"/>
      <c r="CN82" s="549"/>
      <c r="CO82" s="549"/>
    </row>
    <row r="83" spans="2:93" ht="16.649999999999999" customHeight="1">
      <c r="B83" s="697" t="s">
        <v>6011</v>
      </c>
      <c r="C83" s="697"/>
      <c r="D83" s="697"/>
      <c r="E83" s="697"/>
      <c r="F83" s="697"/>
      <c r="G83" s="697"/>
      <c r="H83" s="697"/>
      <c r="I83" s="697"/>
      <c r="J83" s="697"/>
      <c r="K83" s="697"/>
      <c r="L83" s="697"/>
      <c r="M83" s="697"/>
      <c r="N83" s="697"/>
      <c r="O83" s="697"/>
      <c r="P83" s="697"/>
      <c r="R83" s="697" t="s">
        <v>6012</v>
      </c>
      <c r="S83" s="697"/>
      <c r="T83" s="697"/>
      <c r="U83" s="697"/>
      <c r="V83" s="697"/>
      <c r="W83" s="697"/>
      <c r="X83" s="697"/>
      <c r="Y83" s="697"/>
      <c r="Z83" s="697"/>
      <c r="AA83" s="697"/>
      <c r="AB83" s="697"/>
      <c r="AC83" s="697"/>
      <c r="AD83" s="697"/>
      <c r="AE83" s="697"/>
      <c r="AF83" s="697"/>
      <c r="AG83" s="697"/>
      <c r="AH83" s="697"/>
      <c r="AI83" s="697"/>
      <c r="AJ83" s="697"/>
      <c r="AK83" s="697"/>
      <c r="AL83" s="697"/>
      <c r="AM83" s="697"/>
      <c r="AN83" s="697"/>
      <c r="AO83" s="697"/>
      <c r="AP83" s="697"/>
      <c r="AQ83" s="697"/>
      <c r="AR83" s="697"/>
      <c r="AS83" s="697"/>
      <c r="AT83" s="697"/>
      <c r="AW83" s="549"/>
      <c r="AX83" s="549"/>
      <c r="AY83" s="549"/>
      <c r="AZ83" s="549"/>
      <c r="BA83" s="549"/>
      <c r="BB83" s="549"/>
      <c r="BC83" s="549"/>
      <c r="BD83" s="549"/>
      <c r="BE83" s="549"/>
      <c r="BF83" s="549"/>
      <c r="BG83" s="549"/>
      <c r="BH83" s="549"/>
      <c r="BI83" s="549"/>
      <c r="BJ83" s="549"/>
      <c r="BK83" s="549"/>
      <c r="BL83" s="549"/>
      <c r="BM83" s="549"/>
      <c r="BN83" s="549"/>
      <c r="BO83" s="549"/>
      <c r="BP83" s="549"/>
      <c r="BQ83" s="549"/>
      <c r="BR83" s="549"/>
      <c r="BS83" s="549"/>
      <c r="BT83" s="549"/>
      <c r="BU83" s="549"/>
      <c r="BV83" s="549"/>
      <c r="BW83" s="549"/>
      <c r="BX83" s="549"/>
      <c r="BY83" s="549"/>
      <c r="BZ83" s="549"/>
      <c r="CA83" s="549"/>
      <c r="CB83" s="549"/>
      <c r="CC83" s="549"/>
      <c r="CD83" s="549"/>
      <c r="CE83" s="549"/>
      <c r="CF83" s="549"/>
      <c r="CG83" s="549"/>
      <c r="CH83" s="549"/>
      <c r="CI83" s="549"/>
      <c r="CJ83" s="549"/>
      <c r="CK83" s="549"/>
      <c r="CL83" s="549"/>
      <c r="CM83" s="549"/>
      <c r="CN83" s="549"/>
      <c r="CO83" s="549"/>
    </row>
    <row r="84" spans="2:93" ht="16.649999999999999" customHeight="1">
      <c r="B84" s="493" t="s">
        <v>126</v>
      </c>
      <c r="C84" s="493"/>
      <c r="D84" s="493"/>
      <c r="E84" s="493"/>
      <c r="F84" s="493"/>
      <c r="G84" s="493"/>
      <c r="I84" s="493" t="s">
        <v>127</v>
      </c>
      <c r="J84" s="493"/>
      <c r="K84" s="493"/>
      <c r="L84" s="493"/>
      <c r="M84" s="493"/>
      <c r="N84" s="493"/>
      <c r="O84" s="493"/>
      <c r="P84" s="493"/>
      <c r="R84" s="689" t="str">
        <f>IFERROR(VLOOKUP(B85,法术大全!$A:$W,13,FALSE),"")</f>
        <v/>
      </c>
      <c r="S84" s="689"/>
      <c r="T84" s="689"/>
      <c r="U84" s="689"/>
      <c r="V84" s="689"/>
      <c r="W84" s="689"/>
      <c r="X84" s="689"/>
      <c r="Y84" s="689"/>
      <c r="Z84" s="689"/>
      <c r="AA84" s="689"/>
      <c r="AB84" s="689"/>
      <c r="AC84" s="689"/>
      <c r="AD84" s="689"/>
      <c r="AE84" s="689"/>
      <c r="AF84" s="689"/>
      <c r="AG84" s="689"/>
      <c r="AH84" s="689"/>
      <c r="AI84" s="689"/>
      <c r="AJ84" s="689"/>
      <c r="AK84" s="689"/>
      <c r="AL84" s="689"/>
      <c r="AM84" s="689"/>
      <c r="AN84" s="689"/>
      <c r="AO84" s="689"/>
      <c r="AP84" s="689"/>
      <c r="AQ84" s="689"/>
      <c r="AR84" s="689"/>
      <c r="AS84" s="689"/>
      <c r="AT84" s="689"/>
      <c r="AW84" s="549"/>
      <c r="AX84" s="549"/>
      <c r="AY84" s="549"/>
      <c r="AZ84" s="549"/>
      <c r="BA84" s="549"/>
      <c r="BB84" s="549"/>
      <c r="BC84" s="549"/>
      <c r="BD84" s="549"/>
      <c r="BE84" s="549"/>
      <c r="BF84" s="549"/>
      <c r="BG84" s="549"/>
      <c r="BH84" s="549"/>
      <c r="BI84" s="549"/>
      <c r="BJ84" s="549"/>
      <c r="BK84" s="549"/>
      <c r="BL84" s="549"/>
      <c r="BM84" s="549"/>
      <c r="BN84" s="549"/>
      <c r="BO84" s="549"/>
      <c r="BP84" s="549"/>
      <c r="BQ84" s="549"/>
      <c r="BR84" s="549"/>
      <c r="BS84" s="549"/>
      <c r="BT84" s="549"/>
      <c r="BU84" s="549"/>
      <c r="BV84" s="549"/>
      <c r="BW84" s="549"/>
      <c r="BX84" s="549"/>
      <c r="BY84" s="549"/>
      <c r="BZ84" s="549"/>
      <c r="CA84" s="549"/>
      <c r="CB84" s="549"/>
      <c r="CC84" s="549"/>
      <c r="CD84" s="549"/>
      <c r="CE84" s="549"/>
      <c r="CF84" s="549"/>
      <c r="CG84" s="549"/>
      <c r="CH84" s="549"/>
      <c r="CI84" s="549"/>
      <c r="CJ84" s="549"/>
      <c r="CK84" s="549"/>
      <c r="CL84" s="549"/>
      <c r="CM84" s="549"/>
      <c r="CN84" s="549"/>
      <c r="CO84" s="549"/>
    </row>
    <row r="85" spans="2:93" ht="16.649999999999999" customHeight="1">
      <c r="B85" s="525"/>
      <c r="C85" s="525"/>
      <c r="D85" s="525"/>
      <c r="E85" s="525"/>
      <c r="F85" s="525"/>
      <c r="G85" s="525"/>
      <c r="I85" s="690" t="str">
        <f>IFERROR(VLOOKUP(B85,法术大全!$A:$W,7,FALSE),"")</f>
        <v/>
      </c>
      <c r="J85" s="690"/>
      <c r="K85" s="690"/>
      <c r="L85" s="690"/>
      <c r="M85" s="690"/>
      <c r="N85" s="690"/>
      <c r="O85" s="690"/>
      <c r="P85" s="690"/>
      <c r="R85" s="689"/>
      <c r="S85" s="689"/>
      <c r="T85" s="689"/>
      <c r="U85" s="689"/>
      <c r="V85" s="689"/>
      <c r="W85" s="689"/>
      <c r="X85" s="689"/>
      <c r="Y85" s="689"/>
      <c r="Z85" s="689"/>
      <c r="AA85" s="689"/>
      <c r="AB85" s="689"/>
      <c r="AC85" s="689"/>
      <c r="AD85" s="689"/>
      <c r="AE85" s="689"/>
      <c r="AF85" s="689"/>
      <c r="AG85" s="689"/>
      <c r="AH85" s="689"/>
      <c r="AI85" s="689"/>
      <c r="AJ85" s="689"/>
      <c r="AK85" s="689"/>
      <c r="AL85" s="689"/>
      <c r="AM85" s="689"/>
      <c r="AN85" s="689"/>
      <c r="AO85" s="689"/>
      <c r="AP85" s="689"/>
      <c r="AQ85" s="689"/>
      <c r="AR85" s="689"/>
      <c r="AS85" s="689"/>
      <c r="AT85" s="689"/>
      <c r="AW85" s="549"/>
      <c r="AX85" s="549"/>
      <c r="AY85" s="549"/>
      <c r="AZ85" s="549"/>
      <c r="BA85" s="549"/>
      <c r="BB85" s="549"/>
      <c r="BC85" s="549"/>
      <c r="BD85" s="549"/>
      <c r="BE85" s="549"/>
      <c r="BF85" s="549"/>
      <c r="BG85" s="549"/>
      <c r="BH85" s="549"/>
      <c r="BI85" s="549"/>
      <c r="BJ85" s="549"/>
      <c r="BK85" s="549"/>
      <c r="BL85" s="549"/>
      <c r="BM85" s="549"/>
      <c r="BN85" s="549"/>
      <c r="BO85" s="549"/>
      <c r="BP85" s="549"/>
      <c r="BQ85" s="549"/>
      <c r="BR85" s="549"/>
      <c r="BS85" s="549"/>
      <c r="BT85" s="549"/>
      <c r="BU85" s="549"/>
      <c r="BV85" s="549"/>
      <c r="BW85" s="549"/>
      <c r="BX85" s="549"/>
      <c r="BY85" s="549"/>
      <c r="BZ85" s="549"/>
      <c r="CA85" s="549"/>
      <c r="CB85" s="549"/>
      <c r="CC85" s="549"/>
      <c r="CD85" s="549"/>
      <c r="CE85" s="549"/>
      <c r="CF85" s="549"/>
      <c r="CG85" s="549"/>
      <c r="CH85" s="549"/>
      <c r="CI85" s="549"/>
      <c r="CJ85" s="549"/>
      <c r="CK85" s="549"/>
      <c r="CL85" s="549"/>
      <c r="CM85" s="549"/>
      <c r="CN85" s="549"/>
      <c r="CO85" s="549"/>
    </row>
    <row r="86" spans="2:93" ht="16.649999999999999" customHeight="1">
      <c r="B86" s="493" t="s">
        <v>2421</v>
      </c>
      <c r="C86" s="493"/>
      <c r="D86" s="493"/>
      <c r="E86" s="493"/>
      <c r="G86" s="493" t="s">
        <v>6013</v>
      </c>
      <c r="H86" s="493"/>
      <c r="I86" s="493"/>
      <c r="J86" s="493"/>
      <c r="K86" s="4"/>
      <c r="L86" s="493" t="s">
        <v>128</v>
      </c>
      <c r="M86" s="493"/>
      <c r="N86" s="493"/>
      <c r="O86" s="493"/>
      <c r="P86" s="493"/>
      <c r="R86" s="689"/>
      <c r="S86" s="689"/>
      <c r="T86" s="689"/>
      <c r="U86" s="689"/>
      <c r="V86" s="689"/>
      <c r="W86" s="689"/>
      <c r="X86" s="689"/>
      <c r="Y86" s="689"/>
      <c r="Z86" s="689"/>
      <c r="AA86" s="689"/>
      <c r="AB86" s="689"/>
      <c r="AC86" s="689"/>
      <c r="AD86" s="689"/>
      <c r="AE86" s="689"/>
      <c r="AF86" s="689"/>
      <c r="AG86" s="689"/>
      <c r="AH86" s="689"/>
      <c r="AI86" s="689"/>
      <c r="AJ86" s="689"/>
      <c r="AK86" s="689"/>
      <c r="AL86" s="689"/>
      <c r="AM86" s="689"/>
      <c r="AN86" s="689"/>
      <c r="AO86" s="689"/>
      <c r="AP86" s="689"/>
      <c r="AQ86" s="689"/>
      <c r="AR86" s="689"/>
      <c r="AS86" s="689"/>
      <c r="AT86" s="689"/>
      <c r="AW86" s="549"/>
      <c r="AX86" s="549"/>
      <c r="AY86" s="549"/>
      <c r="AZ86" s="549"/>
      <c r="BA86" s="549"/>
      <c r="BB86" s="549"/>
      <c r="BC86" s="549"/>
      <c r="BD86" s="549"/>
      <c r="BE86" s="549"/>
      <c r="BF86" s="549"/>
      <c r="BG86" s="549"/>
      <c r="BH86" s="549"/>
      <c r="BI86" s="549"/>
      <c r="BJ86" s="549"/>
      <c r="BK86" s="549"/>
      <c r="BL86" s="549"/>
      <c r="BM86" s="549"/>
      <c r="BN86" s="549"/>
      <c r="BO86" s="549"/>
      <c r="BP86" s="549"/>
      <c r="BQ86" s="549"/>
      <c r="BR86" s="549"/>
      <c r="BS86" s="549"/>
      <c r="BT86" s="549"/>
      <c r="BU86" s="549"/>
      <c r="BV86" s="549"/>
      <c r="BW86" s="549"/>
      <c r="BX86" s="549"/>
      <c r="BY86" s="549"/>
      <c r="BZ86" s="549"/>
      <c r="CA86" s="549"/>
      <c r="CB86" s="549"/>
      <c r="CC86" s="549"/>
      <c r="CD86" s="549"/>
      <c r="CE86" s="549"/>
      <c r="CF86" s="549"/>
      <c r="CG86" s="549"/>
      <c r="CH86" s="549"/>
      <c r="CI86" s="549"/>
      <c r="CJ86" s="549"/>
      <c r="CK86" s="549"/>
      <c r="CL86" s="549"/>
      <c r="CM86" s="549"/>
      <c r="CN86" s="549"/>
      <c r="CO86" s="549"/>
    </row>
    <row r="87" spans="2:93" ht="16.649999999999999" customHeight="1">
      <c r="B87" s="690" t="str">
        <f>IFERROR(VLOOKUP(B85,法术大全!$A:$W,6,FALSE),"")</f>
        <v/>
      </c>
      <c r="C87" s="690"/>
      <c r="D87" s="690"/>
      <c r="E87" s="690"/>
      <c r="G87" s="690" t="str">
        <f>IFERROR(VLOOKUP(B85,法术大全!$A:$W,3,FALSE),"")</f>
        <v/>
      </c>
      <c r="H87" s="690"/>
      <c r="I87" s="690"/>
      <c r="J87" s="690"/>
      <c r="K87" s="4"/>
      <c r="L87" s="690" t="str">
        <f>IFERROR(VLOOKUP(B85,法术大全!$A:$W,12,FALSE),"")</f>
        <v/>
      </c>
      <c r="M87" s="690"/>
      <c r="N87" s="690"/>
      <c r="O87" s="690"/>
      <c r="P87" s="690"/>
      <c r="R87" s="689"/>
      <c r="S87" s="689"/>
      <c r="T87" s="689"/>
      <c r="U87" s="689"/>
      <c r="V87" s="689"/>
      <c r="W87" s="689"/>
      <c r="X87" s="689"/>
      <c r="Y87" s="689"/>
      <c r="Z87" s="689"/>
      <c r="AA87" s="689"/>
      <c r="AB87" s="689"/>
      <c r="AC87" s="689"/>
      <c r="AD87" s="689"/>
      <c r="AE87" s="689"/>
      <c r="AF87" s="689"/>
      <c r="AG87" s="689"/>
      <c r="AH87" s="689"/>
      <c r="AI87" s="689"/>
      <c r="AJ87" s="689"/>
      <c r="AK87" s="689"/>
      <c r="AL87" s="689"/>
      <c r="AM87" s="689"/>
      <c r="AN87" s="689"/>
      <c r="AO87" s="689"/>
      <c r="AP87" s="689"/>
      <c r="AQ87" s="689"/>
      <c r="AR87" s="689"/>
      <c r="AS87" s="689"/>
      <c r="AT87" s="689"/>
      <c r="AW87" s="549"/>
      <c r="AX87" s="549"/>
      <c r="AY87" s="549"/>
      <c r="AZ87" s="549"/>
      <c r="BA87" s="549"/>
      <c r="BB87" s="549"/>
      <c r="BC87" s="549"/>
      <c r="BD87" s="549"/>
      <c r="BE87" s="549"/>
      <c r="BF87" s="549"/>
      <c r="BG87" s="549"/>
      <c r="BH87" s="549"/>
      <c r="BI87" s="549"/>
      <c r="BJ87" s="549"/>
      <c r="BK87" s="549"/>
      <c r="BL87" s="549"/>
      <c r="BM87" s="549"/>
      <c r="BN87" s="549"/>
      <c r="BO87" s="549"/>
      <c r="BP87" s="549"/>
      <c r="BQ87" s="549"/>
      <c r="BR87" s="549"/>
      <c r="BS87" s="549"/>
      <c r="BT87" s="549"/>
      <c r="BU87" s="549"/>
      <c r="BV87" s="549"/>
      <c r="BW87" s="549"/>
      <c r="BX87" s="549"/>
      <c r="BY87" s="549"/>
      <c r="BZ87" s="549"/>
      <c r="CA87" s="549"/>
      <c r="CB87" s="549"/>
      <c r="CC87" s="549"/>
      <c r="CD87" s="549"/>
      <c r="CE87" s="549"/>
      <c r="CF87" s="549"/>
      <c r="CG87" s="549"/>
      <c r="CH87" s="549"/>
      <c r="CI87" s="549"/>
      <c r="CJ87" s="549"/>
      <c r="CK87" s="549"/>
      <c r="CL87" s="549"/>
      <c r="CM87" s="549"/>
      <c r="CN87" s="549"/>
      <c r="CO87" s="549"/>
    </row>
    <row r="88" spans="2:93" ht="16.649999999999999" customHeight="1">
      <c r="B88" s="493" t="s">
        <v>6014</v>
      </c>
      <c r="C88" s="493"/>
      <c r="D88" s="493"/>
      <c r="E88" s="493"/>
      <c r="F88" s="493"/>
      <c r="G88" s="698" t="str">
        <f>IF(B85="","",CONCATENATE(IF(VLOOKUP(B85,法术大全!$A:$W,8,0)="V","语言（V）",""),IF(VLOOKUP(B85,法术大全!$A:$W,9,0)="S","姿势（S）",""),IF(VLOOKUP(B85,法术大全!$A:$W,10,0)="M","材料(M)","")))</f>
        <v/>
      </c>
      <c r="H88" s="698"/>
      <c r="I88" s="698"/>
      <c r="J88" s="698"/>
      <c r="K88" s="698"/>
      <c r="L88" s="698"/>
      <c r="M88" s="698"/>
      <c r="N88" s="698"/>
      <c r="O88" s="698"/>
      <c r="P88" s="698"/>
      <c r="R88" s="689"/>
      <c r="S88" s="689"/>
      <c r="T88" s="689"/>
      <c r="U88" s="689"/>
      <c r="V88" s="689"/>
      <c r="W88" s="689"/>
      <c r="X88" s="689"/>
      <c r="Y88" s="689"/>
      <c r="Z88" s="689"/>
      <c r="AA88" s="689"/>
      <c r="AB88" s="689"/>
      <c r="AC88" s="689"/>
      <c r="AD88" s="689"/>
      <c r="AE88" s="689"/>
      <c r="AF88" s="689"/>
      <c r="AG88" s="689"/>
      <c r="AH88" s="689"/>
      <c r="AI88" s="689"/>
      <c r="AJ88" s="689"/>
      <c r="AK88" s="689"/>
      <c r="AL88" s="689"/>
      <c r="AM88" s="689"/>
      <c r="AN88" s="689"/>
      <c r="AO88" s="689"/>
      <c r="AP88" s="689"/>
      <c r="AQ88" s="689"/>
      <c r="AR88" s="689"/>
      <c r="AS88" s="689"/>
      <c r="AT88" s="689"/>
      <c r="AW88" s="549"/>
      <c r="AX88" s="549"/>
      <c r="AY88" s="549"/>
      <c r="AZ88" s="549"/>
      <c r="BA88" s="549"/>
      <c r="BB88" s="549"/>
      <c r="BC88" s="549"/>
      <c r="BD88" s="549"/>
      <c r="BE88" s="549"/>
      <c r="BF88" s="549"/>
      <c r="BG88" s="549"/>
      <c r="BH88" s="549"/>
      <c r="BI88" s="549"/>
      <c r="BJ88" s="549"/>
      <c r="BK88" s="549"/>
      <c r="BL88" s="549"/>
      <c r="BM88" s="549"/>
      <c r="BN88" s="549"/>
      <c r="BO88" s="549"/>
      <c r="BP88" s="549"/>
      <c r="BQ88" s="549"/>
      <c r="BR88" s="549"/>
      <c r="BS88" s="549"/>
      <c r="BT88" s="549"/>
      <c r="BU88" s="549"/>
      <c r="BV88" s="549"/>
      <c r="BW88" s="549"/>
      <c r="BX88" s="549"/>
      <c r="BY88" s="549"/>
      <c r="BZ88" s="549"/>
      <c r="CA88" s="549"/>
      <c r="CB88" s="549"/>
      <c r="CC88" s="549"/>
      <c r="CD88" s="549"/>
      <c r="CE88" s="549"/>
      <c r="CF88" s="549"/>
      <c r="CG88" s="549"/>
      <c r="CH88" s="549"/>
      <c r="CI88" s="549"/>
      <c r="CJ88" s="549"/>
      <c r="CK88" s="549"/>
      <c r="CL88" s="549"/>
      <c r="CM88" s="549"/>
      <c r="CN88" s="549"/>
      <c r="CO88" s="549"/>
    </row>
    <row r="89" spans="2:93" ht="16.649999999999999" customHeight="1">
      <c r="B89" s="556" t="str">
        <f>IFERROR(IF(VLOOKUP(B85,法术大全!$A:$W,10,FALSE)="M",VLOOKUP(B85,法术大全!$A:$W,11,FALSE),""),"")</f>
        <v/>
      </c>
      <c r="C89" s="556"/>
      <c r="D89" s="556"/>
      <c r="E89" s="556"/>
      <c r="F89" s="556"/>
      <c r="G89" s="556"/>
      <c r="H89" s="556"/>
      <c r="I89" s="556"/>
      <c r="J89" s="556"/>
      <c r="K89" s="556"/>
      <c r="L89" s="556"/>
      <c r="M89" s="556"/>
      <c r="N89" s="556"/>
      <c r="O89" s="556"/>
      <c r="P89" s="556"/>
      <c r="R89" s="689"/>
      <c r="S89" s="689"/>
      <c r="T89" s="689"/>
      <c r="U89" s="689"/>
      <c r="V89" s="689"/>
      <c r="W89" s="689"/>
      <c r="X89" s="689"/>
      <c r="Y89" s="689"/>
      <c r="Z89" s="689"/>
      <c r="AA89" s="689"/>
      <c r="AB89" s="689"/>
      <c r="AC89" s="689"/>
      <c r="AD89" s="689"/>
      <c r="AE89" s="689"/>
      <c r="AF89" s="689"/>
      <c r="AG89" s="689"/>
      <c r="AH89" s="689"/>
      <c r="AI89" s="689"/>
      <c r="AJ89" s="689"/>
      <c r="AK89" s="689"/>
      <c r="AL89" s="689"/>
      <c r="AM89" s="689"/>
      <c r="AN89" s="689"/>
      <c r="AO89" s="689"/>
      <c r="AP89" s="689"/>
      <c r="AQ89" s="689"/>
      <c r="AR89" s="689"/>
      <c r="AS89" s="689"/>
      <c r="AT89" s="689"/>
      <c r="AW89" s="549"/>
      <c r="AX89" s="549"/>
      <c r="AY89" s="549"/>
      <c r="AZ89" s="549"/>
      <c r="BA89" s="549"/>
      <c r="BB89" s="549"/>
      <c r="BC89" s="549"/>
      <c r="BD89" s="549"/>
      <c r="BE89" s="549"/>
      <c r="BF89" s="549"/>
      <c r="BG89" s="549"/>
      <c r="BH89" s="549"/>
      <c r="BI89" s="549"/>
      <c r="BJ89" s="549"/>
      <c r="BK89" s="549"/>
      <c r="BL89" s="549"/>
      <c r="BM89" s="549"/>
      <c r="BN89" s="549"/>
      <c r="BO89" s="549"/>
      <c r="BP89" s="549"/>
      <c r="BQ89" s="549"/>
      <c r="BR89" s="549"/>
      <c r="BS89" s="549"/>
      <c r="BT89" s="549"/>
      <c r="BU89" s="549"/>
      <c r="BV89" s="549"/>
      <c r="BW89" s="549"/>
      <c r="BX89" s="549"/>
      <c r="BY89" s="549"/>
      <c r="BZ89" s="549"/>
      <c r="CA89" s="549"/>
      <c r="CB89" s="549"/>
      <c r="CC89" s="549"/>
      <c r="CD89" s="549"/>
      <c r="CE89" s="549"/>
      <c r="CF89" s="549"/>
      <c r="CG89" s="549"/>
      <c r="CH89" s="549"/>
      <c r="CI89" s="549"/>
      <c r="CJ89" s="549"/>
      <c r="CK89" s="549"/>
      <c r="CL89" s="549"/>
      <c r="CM89" s="549"/>
      <c r="CN89" s="549"/>
      <c r="CO89" s="549"/>
    </row>
    <row r="90" spans="2:93" ht="16.649999999999999" customHeight="1">
      <c r="B90" s="556"/>
      <c r="C90" s="556"/>
      <c r="D90" s="556"/>
      <c r="E90" s="556"/>
      <c r="F90" s="556"/>
      <c r="G90" s="556"/>
      <c r="H90" s="556"/>
      <c r="I90" s="556"/>
      <c r="J90" s="556"/>
      <c r="K90" s="556"/>
      <c r="L90" s="556"/>
      <c r="M90" s="556"/>
      <c r="N90" s="556"/>
      <c r="O90" s="556"/>
      <c r="P90" s="556"/>
      <c r="R90" s="689"/>
      <c r="S90" s="689"/>
      <c r="T90" s="689"/>
      <c r="U90" s="689"/>
      <c r="V90" s="689"/>
      <c r="W90" s="689"/>
      <c r="X90" s="689"/>
      <c r="Y90" s="689"/>
      <c r="Z90" s="689"/>
      <c r="AA90" s="689"/>
      <c r="AB90" s="689"/>
      <c r="AC90" s="689"/>
      <c r="AD90" s="689"/>
      <c r="AE90" s="689"/>
      <c r="AF90" s="689"/>
      <c r="AG90" s="689"/>
      <c r="AH90" s="689"/>
      <c r="AI90" s="689"/>
      <c r="AJ90" s="689"/>
      <c r="AK90" s="689"/>
      <c r="AL90" s="689"/>
      <c r="AM90" s="689"/>
      <c r="AN90" s="689"/>
      <c r="AO90" s="689"/>
      <c r="AP90" s="689"/>
      <c r="AQ90" s="689"/>
      <c r="AR90" s="689"/>
      <c r="AS90" s="689"/>
      <c r="AT90" s="689"/>
      <c r="AW90" s="549"/>
      <c r="AX90" s="549"/>
      <c r="AY90" s="549"/>
      <c r="AZ90" s="549"/>
      <c r="BA90" s="549"/>
      <c r="BB90" s="549"/>
      <c r="BC90" s="549"/>
      <c r="BD90" s="549"/>
      <c r="BE90" s="549"/>
      <c r="BF90" s="549"/>
      <c r="BG90" s="549"/>
      <c r="BH90" s="549"/>
      <c r="BI90" s="549"/>
      <c r="BJ90" s="549"/>
      <c r="BK90" s="549"/>
      <c r="BL90" s="549"/>
      <c r="BM90" s="549"/>
      <c r="BN90" s="549"/>
      <c r="BO90" s="549"/>
      <c r="BP90" s="549"/>
      <c r="BQ90" s="549"/>
      <c r="BR90" s="549"/>
      <c r="BS90" s="549"/>
      <c r="BT90" s="549"/>
      <c r="BU90" s="549"/>
      <c r="BV90" s="549"/>
      <c r="BW90" s="549"/>
      <c r="BX90" s="549"/>
      <c r="BY90" s="549"/>
      <c r="BZ90" s="549"/>
      <c r="CA90" s="549"/>
      <c r="CB90" s="549"/>
      <c r="CC90" s="549"/>
      <c r="CD90" s="549"/>
      <c r="CE90" s="549"/>
      <c r="CF90" s="549"/>
      <c r="CG90" s="549"/>
      <c r="CH90" s="549"/>
      <c r="CI90" s="549"/>
      <c r="CJ90" s="549"/>
      <c r="CK90" s="549"/>
      <c r="CL90" s="549"/>
      <c r="CM90" s="549"/>
      <c r="CN90" s="549"/>
      <c r="CO90" s="549"/>
    </row>
    <row r="91" spans="2:93" ht="16.649999999999999" customHeight="1">
      <c r="B91" s="493" t="s">
        <v>6015</v>
      </c>
      <c r="C91" s="493"/>
      <c r="D91" s="493"/>
      <c r="E91" s="493"/>
      <c r="F91" s="493"/>
      <c r="G91" s="493"/>
      <c r="H91" s="493"/>
      <c r="I91" s="493"/>
      <c r="J91" s="493"/>
      <c r="K91" s="493"/>
      <c r="L91" s="493"/>
      <c r="M91" s="493"/>
      <c r="N91" s="493"/>
      <c r="O91" s="493"/>
      <c r="P91" s="493"/>
      <c r="R91" s="689"/>
      <c r="S91" s="689"/>
      <c r="T91" s="689"/>
      <c r="U91" s="689"/>
      <c r="V91" s="689"/>
      <c r="W91" s="689"/>
      <c r="X91" s="689"/>
      <c r="Y91" s="689"/>
      <c r="Z91" s="689"/>
      <c r="AA91" s="689"/>
      <c r="AB91" s="689"/>
      <c r="AC91" s="689"/>
      <c r="AD91" s="689"/>
      <c r="AE91" s="689"/>
      <c r="AF91" s="689"/>
      <c r="AG91" s="689"/>
      <c r="AH91" s="689"/>
      <c r="AI91" s="689"/>
      <c r="AJ91" s="689"/>
      <c r="AK91" s="689"/>
      <c r="AL91" s="689"/>
      <c r="AM91" s="689"/>
      <c r="AN91" s="689"/>
      <c r="AO91" s="689"/>
      <c r="AP91" s="689"/>
      <c r="AQ91" s="689"/>
      <c r="AR91" s="689"/>
      <c r="AS91" s="689"/>
      <c r="AT91" s="689"/>
      <c r="AW91" s="549"/>
      <c r="AX91" s="549"/>
      <c r="AY91" s="549"/>
      <c r="AZ91" s="549"/>
      <c r="BA91" s="549"/>
      <c r="BB91" s="549"/>
      <c r="BC91" s="549"/>
      <c r="BD91" s="549"/>
      <c r="BE91" s="549"/>
      <c r="BF91" s="549"/>
      <c r="BG91" s="549"/>
      <c r="BH91" s="549"/>
      <c r="BI91" s="549"/>
      <c r="BJ91" s="549"/>
      <c r="BK91" s="549"/>
      <c r="BL91" s="549"/>
      <c r="BM91" s="549"/>
      <c r="BN91" s="549"/>
      <c r="BO91" s="549"/>
      <c r="BP91" s="549"/>
      <c r="BQ91" s="549"/>
      <c r="BR91" s="549"/>
      <c r="BS91" s="549"/>
      <c r="BT91" s="549"/>
      <c r="BU91" s="549"/>
      <c r="BV91" s="549"/>
      <c r="BW91" s="549"/>
      <c r="BX91" s="549"/>
      <c r="BY91" s="549"/>
      <c r="BZ91" s="549"/>
      <c r="CA91" s="549"/>
      <c r="CB91" s="549"/>
      <c r="CC91" s="549"/>
      <c r="CD91" s="549"/>
      <c r="CE91" s="549"/>
      <c r="CF91" s="549"/>
      <c r="CG91" s="549"/>
      <c r="CH91" s="549"/>
      <c r="CI91" s="549"/>
      <c r="CJ91" s="549"/>
      <c r="CK91" s="549"/>
      <c r="CL91" s="549"/>
      <c r="CM91" s="549"/>
      <c r="CN91" s="549"/>
      <c r="CO91" s="549"/>
    </row>
    <row r="92" spans="2:93" ht="16.649999999999999" customHeight="1">
      <c r="B92" s="691" t="str">
        <f>IF(B85="","",CONCATENATE(IF(VLOOKUP(B85,法术大全!$A:$W,15,0)="√","吟游诗人 ",""),IF(VLOOKUP(B85,法术大全!$A:$W,16,0)="√","牧师 ",""),IF(VLOOKUP(B85,法术大全!$A:$W,17,0)="√","德鲁伊 ",""),IF(VLOOKUP(B85,法术大全!$A:$W,18,0)="√","圣武士 ",""),IF(VLOOKUP(B85,法术大全!$A:$W,19,0)="√","游侠 ",""),IF(VLOOKUP(B85,法术大全!$A:$W,20,0)="√","术士 ",""),IF(VLOOKUP(B85,法术大全!$A:$W,21,0)="√","邪术师 ",""),IF(VLOOKUP(B85,法术大全!$A:$W,22,0)="√","法师 ",""),IF(VLOOKUP(B85,法术大全!$A:$W,23,0)="√","奇械师 ","")))</f>
        <v/>
      </c>
      <c r="C92" s="692"/>
      <c r="D92" s="692"/>
      <c r="E92" s="692"/>
      <c r="F92" s="692"/>
      <c r="G92" s="692"/>
      <c r="H92" s="692"/>
      <c r="I92" s="692"/>
      <c r="J92" s="692"/>
      <c r="K92" s="692"/>
      <c r="L92" s="692"/>
      <c r="M92" s="692"/>
      <c r="N92" s="692"/>
      <c r="O92" s="692"/>
      <c r="P92" s="693"/>
      <c r="R92" s="689"/>
      <c r="S92" s="689"/>
      <c r="T92" s="689"/>
      <c r="U92" s="689"/>
      <c r="V92" s="689"/>
      <c r="W92" s="689"/>
      <c r="X92" s="689"/>
      <c r="Y92" s="689"/>
      <c r="Z92" s="689"/>
      <c r="AA92" s="689"/>
      <c r="AB92" s="689"/>
      <c r="AC92" s="689"/>
      <c r="AD92" s="689"/>
      <c r="AE92" s="689"/>
      <c r="AF92" s="689"/>
      <c r="AG92" s="689"/>
      <c r="AH92" s="689"/>
      <c r="AI92" s="689"/>
      <c r="AJ92" s="689"/>
      <c r="AK92" s="689"/>
      <c r="AL92" s="689"/>
      <c r="AM92" s="689"/>
      <c r="AN92" s="689"/>
      <c r="AO92" s="689"/>
      <c r="AP92" s="689"/>
      <c r="AQ92" s="689"/>
      <c r="AR92" s="689"/>
      <c r="AS92" s="689"/>
      <c r="AT92" s="689"/>
      <c r="AW92" s="549"/>
      <c r="AX92" s="549"/>
      <c r="AY92" s="549"/>
      <c r="AZ92" s="549"/>
      <c r="BA92" s="549"/>
      <c r="BB92" s="549"/>
      <c r="BC92" s="549"/>
      <c r="BD92" s="549"/>
      <c r="BE92" s="549"/>
      <c r="BF92" s="549"/>
      <c r="BG92" s="549"/>
      <c r="BH92" s="549"/>
      <c r="BI92" s="549"/>
      <c r="BJ92" s="549"/>
      <c r="BK92" s="549"/>
      <c r="BL92" s="549"/>
      <c r="BM92" s="549"/>
      <c r="BN92" s="549"/>
      <c r="BO92" s="549"/>
      <c r="BP92" s="549"/>
      <c r="BQ92" s="549"/>
      <c r="BR92" s="549"/>
      <c r="BS92" s="549"/>
      <c r="BT92" s="549"/>
      <c r="BU92" s="549"/>
      <c r="BV92" s="549"/>
      <c r="BW92" s="549"/>
      <c r="BX92" s="549"/>
      <c r="BY92" s="549"/>
      <c r="BZ92" s="549"/>
      <c r="CA92" s="549"/>
      <c r="CB92" s="549"/>
      <c r="CC92" s="549"/>
      <c r="CD92" s="549"/>
      <c r="CE92" s="549"/>
      <c r="CF92" s="549"/>
      <c r="CG92" s="549"/>
      <c r="CH92" s="549"/>
      <c r="CI92" s="549"/>
      <c r="CJ92" s="549"/>
      <c r="CK92" s="549"/>
      <c r="CL92" s="549"/>
      <c r="CM92" s="549"/>
      <c r="CN92" s="549"/>
      <c r="CO92" s="549"/>
    </row>
    <row r="93" spans="2:93" ht="16.649999999999999" customHeight="1">
      <c r="B93" s="694"/>
      <c r="C93" s="695"/>
      <c r="D93" s="695"/>
      <c r="E93" s="695"/>
      <c r="F93" s="695"/>
      <c r="G93" s="695"/>
      <c r="H93" s="695"/>
      <c r="I93" s="695"/>
      <c r="J93" s="695"/>
      <c r="K93" s="695"/>
      <c r="L93" s="695"/>
      <c r="M93" s="695"/>
      <c r="N93" s="695"/>
      <c r="O93" s="695"/>
      <c r="P93" s="696"/>
      <c r="R93" s="689"/>
      <c r="S93" s="689"/>
      <c r="T93" s="689"/>
      <c r="U93" s="689"/>
      <c r="V93" s="689"/>
      <c r="W93" s="689"/>
      <c r="X93" s="689"/>
      <c r="Y93" s="689"/>
      <c r="Z93" s="689"/>
      <c r="AA93" s="689"/>
      <c r="AB93" s="689"/>
      <c r="AC93" s="689"/>
      <c r="AD93" s="689"/>
      <c r="AE93" s="689"/>
      <c r="AF93" s="689"/>
      <c r="AG93" s="689"/>
      <c r="AH93" s="689"/>
      <c r="AI93" s="689"/>
      <c r="AJ93" s="689"/>
      <c r="AK93" s="689"/>
      <c r="AL93" s="689"/>
      <c r="AM93" s="689"/>
      <c r="AN93" s="689"/>
      <c r="AO93" s="689"/>
      <c r="AP93" s="689"/>
      <c r="AQ93" s="689"/>
      <c r="AR93" s="689"/>
      <c r="AS93" s="689"/>
      <c r="AT93" s="689"/>
      <c r="AW93" s="549"/>
      <c r="AX93" s="549"/>
      <c r="AY93" s="549"/>
      <c r="AZ93" s="549"/>
      <c r="BA93" s="549"/>
      <c r="BB93" s="549"/>
      <c r="BC93" s="549"/>
      <c r="BD93" s="549"/>
      <c r="BE93" s="549"/>
      <c r="BF93" s="549"/>
      <c r="BG93" s="549"/>
      <c r="BH93" s="549"/>
      <c r="BI93" s="549"/>
      <c r="BJ93" s="549"/>
      <c r="BK93" s="549"/>
      <c r="BL93" s="549"/>
      <c r="BM93" s="549"/>
      <c r="BN93" s="549"/>
      <c r="BO93" s="549"/>
      <c r="BP93" s="549"/>
      <c r="BQ93" s="549"/>
      <c r="BR93" s="549"/>
      <c r="BS93" s="549"/>
      <c r="BT93" s="549"/>
      <c r="BU93" s="549"/>
      <c r="BV93" s="549"/>
      <c r="BW93" s="549"/>
      <c r="BX93" s="549"/>
      <c r="BY93" s="549"/>
      <c r="BZ93" s="549"/>
      <c r="CA93" s="549"/>
      <c r="CB93" s="549"/>
      <c r="CC93" s="549"/>
      <c r="CD93" s="549"/>
      <c r="CE93" s="549"/>
      <c r="CF93" s="549"/>
      <c r="CG93" s="549"/>
      <c r="CH93" s="549"/>
      <c r="CI93" s="549"/>
      <c r="CJ93" s="549"/>
      <c r="CK93" s="549"/>
      <c r="CL93" s="549"/>
      <c r="CM93" s="549"/>
      <c r="CN93" s="549"/>
      <c r="CO93" s="549"/>
    </row>
    <row r="94" spans="2:93" ht="16.649999999999999" customHeight="1">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X94" s="3"/>
    </row>
    <row r="95" spans="2:93" ht="16.649999999999999" customHeight="1">
      <c r="AX95" s="3"/>
      <c r="AY95" s="3"/>
      <c r="AZ95" s="3"/>
      <c r="BA95" s="3"/>
      <c r="BB95" s="3"/>
      <c r="BC95" s="3"/>
      <c r="BD95" s="3"/>
      <c r="BE95" s="3"/>
      <c r="BF95" s="3"/>
      <c r="BG95" s="3"/>
      <c r="BH95" s="3"/>
      <c r="BI95" s="3"/>
      <c r="BJ95" s="3"/>
      <c r="BK95" s="3"/>
      <c r="BL95" s="3"/>
      <c r="BM95" s="3"/>
      <c r="BN95" s="3"/>
      <c r="BO95" s="3"/>
      <c r="BP95" s="3"/>
      <c r="BQ95" s="3"/>
      <c r="BR95" s="3"/>
      <c r="BS95" s="3"/>
    </row>
    <row r="96" spans="2:93" ht="16.649999999999999" customHeight="1">
      <c r="AX96" s="3"/>
    </row>
    <row r="97" spans="50:71" ht="16.649999999999999" customHeight="1">
      <c r="AX97" s="3"/>
      <c r="AY97" s="3"/>
      <c r="AZ97" s="3"/>
      <c r="BA97" s="3"/>
      <c r="BB97" s="3"/>
      <c r="BC97" s="3"/>
      <c r="BD97" s="3"/>
      <c r="BE97" s="3"/>
      <c r="BF97" s="3"/>
      <c r="BG97" s="3"/>
      <c r="BH97" s="3"/>
      <c r="BI97" s="3"/>
      <c r="BJ97" s="3"/>
      <c r="BK97" s="3"/>
      <c r="BL97" s="3"/>
      <c r="BM97" s="3"/>
      <c r="BN97" s="3"/>
      <c r="BO97" s="3"/>
      <c r="BP97" s="3"/>
      <c r="BQ97" s="3"/>
      <c r="BR97" s="3"/>
      <c r="BS97" s="3"/>
    </row>
    <row r="98" spans="50:71" ht="16.649999999999999" customHeight="1">
      <c r="AX98" s="3"/>
      <c r="AY98" s="3"/>
      <c r="AZ98" s="3"/>
      <c r="BA98" s="3"/>
      <c r="BB98" s="3"/>
      <c r="BC98" s="3"/>
      <c r="BD98" s="3"/>
      <c r="BE98" s="3"/>
      <c r="BF98" s="3"/>
      <c r="BG98" s="3"/>
      <c r="BH98" s="3"/>
      <c r="BI98" s="3"/>
      <c r="BJ98" s="3"/>
      <c r="BK98" s="3"/>
      <c r="BL98" s="3"/>
      <c r="BM98" s="3"/>
      <c r="BN98" s="3"/>
      <c r="BO98" s="3"/>
      <c r="BP98" s="3"/>
      <c r="BQ98" s="3"/>
      <c r="BR98" s="3"/>
      <c r="BS98" s="3"/>
    </row>
    <row r="99" spans="50:71" ht="16.649999999999999" customHeight="1">
      <c r="AX99" s="3"/>
      <c r="AY99" s="3"/>
      <c r="AZ99" s="3"/>
      <c r="BA99" s="3"/>
      <c r="BB99" s="3"/>
      <c r="BC99" s="3"/>
      <c r="BD99" s="3"/>
      <c r="BE99" s="3"/>
      <c r="BF99" s="3"/>
      <c r="BG99" s="3"/>
      <c r="BH99" s="3"/>
      <c r="BI99" s="3"/>
      <c r="BJ99" s="3"/>
      <c r="BK99" s="3"/>
      <c r="BL99" s="3"/>
      <c r="BM99" s="3"/>
      <c r="BN99" s="3"/>
      <c r="BO99" s="3"/>
      <c r="BP99" s="3"/>
      <c r="BQ99" s="3"/>
      <c r="BR99" s="3"/>
      <c r="BS99" s="3"/>
    </row>
    <row r="113" spans="27:71" ht="16.649999999999999" customHeight="1">
      <c r="BB113" s="3"/>
      <c r="BC113" s="3"/>
      <c r="BD113" s="3"/>
      <c r="BE113" s="3"/>
      <c r="BF113" s="3"/>
      <c r="BG113" s="3"/>
      <c r="BH113" s="3"/>
      <c r="BI113" s="3"/>
      <c r="BJ113" s="3"/>
      <c r="BK113" s="3"/>
      <c r="BL113" s="3"/>
      <c r="BM113" s="3"/>
      <c r="BN113" s="3"/>
      <c r="BO113" s="3"/>
      <c r="BP113" s="3"/>
      <c r="BQ113" s="3"/>
      <c r="BR113" s="3"/>
      <c r="BS113" s="3"/>
    </row>
    <row r="114" spans="27:71" ht="16.649999999999999" customHeight="1">
      <c r="BB114" s="3"/>
      <c r="BC114" s="3"/>
      <c r="BD114" s="3"/>
      <c r="BE114" s="3"/>
      <c r="BF114" s="3"/>
      <c r="BG114" s="3"/>
      <c r="BH114" s="3"/>
      <c r="BI114" s="3"/>
      <c r="BJ114" s="3"/>
      <c r="BK114" s="3"/>
      <c r="BL114" s="3"/>
      <c r="BM114" s="3"/>
      <c r="BN114" s="3"/>
      <c r="BO114" s="3"/>
      <c r="BP114" s="3"/>
      <c r="BQ114" s="3"/>
      <c r="BR114" s="3"/>
      <c r="BS114" s="3"/>
    </row>
    <row r="115" spans="27:71" ht="16.649999999999999" customHeight="1">
      <c r="BB115" s="3"/>
      <c r="BC115" s="3"/>
      <c r="BD115" s="3"/>
      <c r="BE115" s="3"/>
      <c r="BF115" s="3"/>
      <c r="BG115" s="3"/>
      <c r="BH115" s="3"/>
      <c r="BI115" s="3"/>
      <c r="BJ115" s="3"/>
      <c r="BK115" s="3"/>
      <c r="BL115" s="3"/>
      <c r="BM115" s="3"/>
      <c r="BN115" s="3"/>
      <c r="BO115" s="3"/>
      <c r="BP115" s="3"/>
      <c r="BQ115" s="3"/>
      <c r="BR115" s="3"/>
      <c r="BS115" s="3"/>
    </row>
    <row r="116" spans="27:71" ht="16.649999999999999" customHeight="1">
      <c r="AA116" s="3"/>
      <c r="AB116" s="3"/>
      <c r="AC116" s="3"/>
      <c r="AD116" s="3"/>
      <c r="AE116" s="3"/>
      <c r="BB116" s="3"/>
      <c r="BC116" s="3"/>
      <c r="BD116" s="3"/>
      <c r="BE116" s="3"/>
      <c r="BF116" s="3"/>
      <c r="BG116" s="3"/>
      <c r="BH116" s="3"/>
      <c r="BI116" s="3"/>
      <c r="BJ116" s="3"/>
      <c r="BK116" s="3"/>
      <c r="BL116" s="3"/>
      <c r="BM116" s="3"/>
      <c r="BN116" s="3"/>
      <c r="BO116" s="3"/>
      <c r="BP116" s="3"/>
      <c r="BQ116" s="3"/>
      <c r="BR116" s="3"/>
      <c r="BS116" s="3"/>
    </row>
    <row r="117" spans="27:71" ht="16.649999999999999" customHeight="1">
      <c r="AA117" s="3"/>
      <c r="AB117" s="3"/>
      <c r="AC117" s="3"/>
      <c r="AD117" s="3"/>
      <c r="AE117" s="3"/>
      <c r="BB117" s="3"/>
      <c r="BC117" s="3"/>
      <c r="BD117" s="3"/>
      <c r="BE117" s="3"/>
      <c r="BF117" s="3"/>
      <c r="BG117" s="3"/>
      <c r="BH117" s="3"/>
      <c r="BI117" s="3"/>
      <c r="BJ117" s="3"/>
      <c r="BK117" s="3"/>
      <c r="BL117" s="3"/>
      <c r="BM117" s="3"/>
      <c r="BN117" s="3"/>
      <c r="BO117" s="3"/>
      <c r="BP117" s="3"/>
      <c r="BQ117" s="3"/>
      <c r="BR117" s="3"/>
      <c r="BS117" s="3"/>
    </row>
    <row r="118" spans="27:71" ht="16.649999999999999" customHeight="1">
      <c r="AA118" s="3"/>
      <c r="AB118" s="3"/>
      <c r="AC118" s="3"/>
      <c r="AD118" s="3"/>
      <c r="AE118" s="3"/>
      <c r="BB118" s="3"/>
      <c r="BC118" s="3"/>
      <c r="BD118" s="3"/>
      <c r="BE118" s="3"/>
      <c r="BF118" s="3"/>
      <c r="BG118" s="3"/>
      <c r="BH118" s="3"/>
      <c r="BI118" s="3"/>
      <c r="BJ118" s="3"/>
      <c r="BK118" s="3"/>
      <c r="BL118" s="3"/>
      <c r="BM118" s="3"/>
      <c r="BN118" s="3"/>
      <c r="BO118" s="3"/>
      <c r="BP118" s="3"/>
      <c r="BQ118" s="3"/>
      <c r="BR118" s="3"/>
      <c r="BS118" s="3"/>
    </row>
    <row r="119" spans="27:71" ht="16.649999999999999" customHeight="1">
      <c r="AA119" s="3"/>
      <c r="AB119" s="3"/>
      <c r="AC119" s="3"/>
      <c r="AD119" s="3"/>
      <c r="AE119" s="3"/>
      <c r="BB119" s="3"/>
      <c r="BC119" s="3"/>
      <c r="BD119" s="3"/>
      <c r="BE119" s="3"/>
      <c r="BF119" s="3"/>
      <c r="BG119" s="3"/>
      <c r="BH119" s="3"/>
      <c r="BI119" s="3"/>
      <c r="BJ119" s="3"/>
      <c r="BK119" s="3"/>
      <c r="BL119" s="3"/>
      <c r="BM119" s="3"/>
      <c r="BN119" s="3"/>
      <c r="BO119" s="3"/>
      <c r="BP119" s="3"/>
      <c r="BQ119" s="3"/>
      <c r="BR119" s="3"/>
      <c r="BS119" s="3"/>
    </row>
    <row r="120" spans="27:71" ht="16.649999999999999" customHeight="1">
      <c r="AA120" s="3"/>
      <c r="AB120" s="3"/>
      <c r="AC120" s="3"/>
      <c r="AD120" s="3"/>
      <c r="AE120" s="3"/>
      <c r="BB120" s="3"/>
      <c r="BC120" s="3"/>
      <c r="BD120" s="3"/>
      <c r="BE120" s="3"/>
      <c r="BF120" s="3"/>
      <c r="BG120" s="3"/>
      <c r="BH120" s="3"/>
      <c r="BI120" s="3"/>
      <c r="BJ120" s="3"/>
      <c r="BK120" s="3"/>
      <c r="BL120" s="3"/>
      <c r="BM120" s="3"/>
      <c r="BN120" s="3"/>
      <c r="BO120" s="3"/>
      <c r="BP120" s="3"/>
      <c r="BQ120" s="3"/>
      <c r="BR120" s="3"/>
      <c r="BS120" s="3"/>
    </row>
    <row r="121" spans="27:71" ht="16.649999999999999" customHeight="1">
      <c r="AA121" s="3"/>
      <c r="AB121" s="3"/>
      <c r="AC121" s="3"/>
      <c r="AD121" s="3"/>
      <c r="AE121" s="3"/>
      <c r="BB121" s="3"/>
      <c r="BC121" s="3"/>
      <c r="BD121" s="3"/>
      <c r="BE121" s="3"/>
      <c r="BF121" s="3"/>
      <c r="BG121" s="3"/>
      <c r="BH121" s="3"/>
      <c r="BI121" s="3"/>
      <c r="BJ121" s="3"/>
      <c r="BK121" s="3"/>
      <c r="BL121" s="3"/>
      <c r="BM121" s="3"/>
      <c r="BN121" s="3"/>
      <c r="BO121" s="3"/>
      <c r="BP121" s="3"/>
      <c r="BQ121" s="3"/>
      <c r="BR121" s="3"/>
      <c r="BS121" s="3"/>
    </row>
    <row r="122" spans="27:71" ht="16.649999999999999" customHeight="1">
      <c r="AA122" s="3"/>
      <c r="AB122" s="3"/>
      <c r="AC122" s="3"/>
      <c r="AD122" s="3"/>
      <c r="AE122" s="3"/>
      <c r="BB122" s="3"/>
      <c r="BC122" s="3"/>
      <c r="BD122" s="3"/>
      <c r="BE122" s="3"/>
      <c r="BF122" s="3"/>
      <c r="BG122" s="3"/>
      <c r="BH122" s="3"/>
      <c r="BI122" s="3"/>
      <c r="BJ122" s="3"/>
      <c r="BK122" s="3"/>
      <c r="BL122" s="3"/>
      <c r="BM122" s="3"/>
      <c r="BN122" s="3"/>
      <c r="BO122" s="3"/>
      <c r="BP122" s="3"/>
      <c r="BQ122" s="3"/>
      <c r="BR122" s="3"/>
      <c r="BS122" s="3"/>
    </row>
    <row r="123" spans="27:71" ht="16.649999999999999" customHeight="1">
      <c r="AA123" s="3"/>
      <c r="AB123" s="3"/>
      <c r="AC123" s="3"/>
      <c r="AD123" s="3"/>
      <c r="AE123" s="3"/>
      <c r="BB123" s="3"/>
      <c r="BC123" s="3"/>
      <c r="BD123" s="3"/>
      <c r="BE123" s="3"/>
      <c r="BF123" s="3"/>
      <c r="BG123" s="3"/>
      <c r="BH123" s="3"/>
      <c r="BI123" s="3"/>
      <c r="BJ123" s="3"/>
      <c r="BK123" s="3"/>
      <c r="BL123" s="3"/>
      <c r="BM123" s="3"/>
      <c r="BN123" s="3"/>
      <c r="BO123" s="3"/>
      <c r="BP123" s="3"/>
      <c r="BQ123" s="3"/>
      <c r="BR123" s="3"/>
      <c r="BS123" s="3"/>
    </row>
    <row r="124" spans="27:71" ht="16.649999999999999" customHeight="1">
      <c r="AA124" s="3"/>
      <c r="AB124" s="3"/>
      <c r="AC124" s="3"/>
      <c r="AD124" s="3"/>
      <c r="AE124" s="3"/>
      <c r="BB124" s="3"/>
      <c r="BC124" s="3"/>
      <c r="BD124" s="3"/>
      <c r="BE124" s="3"/>
      <c r="BF124" s="3"/>
      <c r="BG124" s="3"/>
      <c r="BH124" s="3"/>
      <c r="BI124" s="3"/>
      <c r="BJ124" s="3"/>
      <c r="BK124" s="3"/>
      <c r="BL124" s="3"/>
      <c r="BM124" s="3"/>
      <c r="BN124" s="3"/>
      <c r="BO124" s="3"/>
      <c r="BP124" s="3"/>
      <c r="BQ124" s="3"/>
      <c r="BR124" s="3"/>
      <c r="BS124" s="3"/>
    </row>
    <row r="125" spans="27:71" ht="16.649999999999999" customHeight="1">
      <c r="AA125" s="3"/>
      <c r="AB125" s="3"/>
      <c r="AC125" s="3"/>
      <c r="AD125" s="3"/>
      <c r="AE125" s="3"/>
      <c r="BB125" s="3"/>
      <c r="BC125" s="3"/>
      <c r="BD125" s="3"/>
      <c r="BE125" s="3"/>
      <c r="BF125" s="3"/>
      <c r="BG125" s="3"/>
      <c r="BH125" s="3"/>
      <c r="BI125" s="3"/>
      <c r="BJ125" s="3"/>
      <c r="BK125" s="3"/>
      <c r="BL125" s="3"/>
      <c r="BM125" s="3"/>
      <c r="BN125" s="3"/>
      <c r="BO125" s="3"/>
      <c r="BP125" s="3"/>
      <c r="BQ125" s="3"/>
      <c r="BR125" s="3"/>
      <c r="BS125" s="3"/>
    </row>
    <row r="126" spans="27:71" ht="16.649999999999999" customHeight="1">
      <c r="AA126" s="3"/>
      <c r="AB126" s="3"/>
      <c r="AC126" s="3"/>
      <c r="AD126" s="3"/>
      <c r="AE126" s="3"/>
      <c r="BB126" s="3"/>
      <c r="BC126" s="3"/>
      <c r="BD126" s="3"/>
      <c r="BE126" s="3"/>
      <c r="BF126" s="3"/>
      <c r="BG126" s="3"/>
      <c r="BH126" s="3"/>
      <c r="BI126" s="3"/>
      <c r="BJ126" s="3"/>
      <c r="BK126" s="3"/>
      <c r="BL126" s="3"/>
      <c r="BM126" s="3"/>
      <c r="BN126" s="3"/>
      <c r="BO126" s="3"/>
      <c r="BP126" s="3"/>
      <c r="BQ126" s="3"/>
      <c r="BR126" s="3"/>
      <c r="BS126" s="3"/>
    </row>
    <row r="127" spans="27:71" ht="16.649999999999999" customHeight="1">
      <c r="AA127" s="3"/>
      <c r="AB127" s="3"/>
      <c r="AC127" s="3"/>
      <c r="AD127" s="3"/>
      <c r="AE127" s="3"/>
      <c r="BB127" s="3"/>
      <c r="BC127" s="3"/>
      <c r="BD127" s="3"/>
      <c r="BE127" s="3"/>
      <c r="BF127" s="3"/>
      <c r="BG127" s="3"/>
      <c r="BH127" s="3"/>
      <c r="BI127" s="3"/>
      <c r="BJ127" s="3"/>
      <c r="BK127" s="3"/>
      <c r="BL127" s="3"/>
      <c r="BM127" s="3"/>
      <c r="BN127" s="3"/>
      <c r="BO127" s="3"/>
      <c r="BP127" s="3"/>
      <c r="BQ127" s="3"/>
      <c r="BR127" s="3"/>
      <c r="BS127" s="3"/>
    </row>
    <row r="128" spans="27:71" ht="16.649999999999999" customHeight="1">
      <c r="AA128" s="3"/>
      <c r="AB128" s="3"/>
      <c r="AC128" s="3"/>
      <c r="AD128" s="3"/>
      <c r="AE128" s="3"/>
      <c r="BB128" s="3"/>
      <c r="BC128" s="3"/>
      <c r="BD128" s="3"/>
      <c r="BE128" s="3"/>
      <c r="BF128" s="3"/>
      <c r="BG128" s="3"/>
      <c r="BH128" s="3"/>
      <c r="BI128" s="3"/>
      <c r="BJ128" s="3"/>
      <c r="BK128" s="3"/>
      <c r="BL128" s="3"/>
      <c r="BM128" s="3"/>
      <c r="BN128" s="3"/>
      <c r="BO128" s="3"/>
      <c r="BP128" s="3"/>
      <c r="BQ128" s="3"/>
      <c r="BR128" s="3"/>
      <c r="BS128" s="3"/>
    </row>
    <row r="129" spans="27:71" ht="16.649999999999999" customHeight="1">
      <c r="AA129" s="3"/>
      <c r="AB129" s="3"/>
      <c r="AC129" s="3"/>
      <c r="AD129" s="3"/>
      <c r="AE129" s="3"/>
      <c r="BB129" s="3"/>
      <c r="BC129" s="3"/>
      <c r="BD129" s="3"/>
      <c r="BE129" s="3"/>
      <c r="BF129" s="3"/>
      <c r="BG129" s="3"/>
      <c r="BH129" s="3"/>
      <c r="BI129" s="3"/>
      <c r="BJ129" s="3"/>
      <c r="BK129" s="3"/>
      <c r="BL129" s="3"/>
      <c r="BM129" s="3"/>
      <c r="BN129" s="3"/>
      <c r="BO129" s="3"/>
      <c r="BP129" s="3"/>
      <c r="BQ129" s="3"/>
      <c r="BR129" s="3"/>
      <c r="BS129" s="3"/>
    </row>
    <row r="130" spans="27:71" ht="16.649999999999999" customHeight="1">
      <c r="AA130" s="3"/>
      <c r="AB130" s="3"/>
      <c r="AC130" s="3"/>
      <c r="AD130" s="3"/>
      <c r="AE130" s="3"/>
      <c r="BB130" s="3"/>
      <c r="BC130" s="3"/>
      <c r="BD130" s="3"/>
      <c r="BE130" s="3"/>
      <c r="BF130" s="3"/>
      <c r="BG130" s="3"/>
      <c r="BH130" s="3"/>
      <c r="BI130" s="3"/>
      <c r="BJ130" s="3"/>
      <c r="BK130" s="3"/>
      <c r="BL130" s="3"/>
      <c r="BM130" s="3"/>
      <c r="BN130" s="3"/>
      <c r="BO130" s="3"/>
      <c r="BP130" s="3"/>
      <c r="BQ130" s="3"/>
      <c r="BR130" s="3"/>
      <c r="BS130" s="3"/>
    </row>
    <row r="131" spans="27:71" ht="16.649999999999999" customHeight="1">
      <c r="AA131" s="3"/>
      <c r="AB131" s="3"/>
      <c r="AC131" s="3"/>
      <c r="AD131" s="3"/>
      <c r="AE131" s="3"/>
      <c r="BB131" s="3"/>
      <c r="BC131" s="3"/>
      <c r="BD131" s="3"/>
      <c r="BE131" s="3"/>
      <c r="BF131" s="3"/>
      <c r="BG131" s="3"/>
      <c r="BH131" s="3"/>
      <c r="BI131" s="3"/>
      <c r="BJ131" s="3"/>
      <c r="BK131" s="3"/>
      <c r="BL131" s="3"/>
      <c r="BM131" s="3"/>
      <c r="BN131" s="3"/>
      <c r="BO131" s="3"/>
      <c r="BP131" s="3"/>
      <c r="BQ131" s="3"/>
      <c r="BR131" s="3"/>
      <c r="BS131" s="3"/>
    </row>
    <row r="132" spans="27:71" ht="16.649999999999999" customHeight="1">
      <c r="AA132" s="3"/>
      <c r="AB132" s="3"/>
      <c r="AC132" s="3"/>
      <c r="AD132" s="3"/>
      <c r="AE132" s="3"/>
      <c r="BB132" s="3"/>
      <c r="BC132" s="3"/>
      <c r="BD132" s="3"/>
      <c r="BE132" s="3"/>
      <c r="BF132" s="3"/>
      <c r="BG132" s="3"/>
      <c r="BH132" s="3"/>
      <c r="BI132" s="3"/>
      <c r="BJ132" s="3"/>
      <c r="BK132" s="3"/>
      <c r="BL132" s="3"/>
      <c r="BM132" s="3"/>
      <c r="BN132" s="3"/>
      <c r="BO132" s="3"/>
      <c r="BP132" s="3"/>
      <c r="BQ132" s="3"/>
      <c r="BR132" s="3"/>
      <c r="BS132" s="3"/>
    </row>
    <row r="133" spans="27:71" ht="16.649999999999999" customHeight="1">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row>
    <row r="134" spans="27:71" ht="16.649999999999999" customHeight="1">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row>
    <row r="135" spans="27:71" ht="16.649999999999999" customHeight="1">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row>
    <row r="136" spans="27:71" ht="16.649999999999999" customHeight="1">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row>
    <row r="137" spans="27:71" ht="16.649999999999999" customHeight="1">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row>
    <row r="138" spans="27:71" ht="16.649999999999999" customHeight="1">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row>
    <row r="139" spans="27:71" ht="16.649999999999999" customHeight="1">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row>
    <row r="140" spans="27:71" ht="16.649999999999999" customHeight="1">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row>
    <row r="141" spans="27:71" ht="16.649999999999999" customHeight="1">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row>
    <row r="142" spans="27:71" ht="16.649999999999999" customHeight="1">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row>
    <row r="143" spans="27:71" ht="16.649999999999999" customHeight="1">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row>
    <row r="144" spans="27:71" ht="16.649999999999999" customHeight="1">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row>
    <row r="145" spans="32:71" ht="16.649999999999999" customHeight="1">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row>
    <row r="146" spans="32:71" ht="16.649999999999999" customHeight="1">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row>
    <row r="147" spans="32:71" ht="16.649999999999999" customHeight="1">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row>
    <row r="148" spans="32:71" ht="16.649999999999999" customHeight="1">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row>
    <row r="149" spans="32:71" ht="16.649999999999999" customHeight="1">
      <c r="AW149" s="3"/>
      <c r="AX149" s="3"/>
      <c r="AY149" s="3"/>
      <c r="AZ149" s="3"/>
      <c r="BA149" s="3"/>
      <c r="BB149" s="3"/>
      <c r="BC149" s="3"/>
      <c r="BD149" s="3"/>
      <c r="BE149" s="3"/>
      <c r="BF149" s="3"/>
      <c r="BG149" s="3"/>
      <c r="BH149" s="3"/>
      <c r="BI149" s="3"/>
      <c r="BJ149" s="3"/>
      <c r="BK149" s="3"/>
      <c r="BL149" s="3"/>
      <c r="BM149" s="3"/>
      <c r="BN149" s="3"/>
      <c r="BO149" s="3"/>
      <c r="BP149" s="3"/>
      <c r="BQ149" s="3"/>
      <c r="BR149" s="3"/>
    </row>
  </sheetData>
  <sheetProtection sheet="1"/>
  <dataConsolidate/>
  <mergeCells count="951">
    <mergeCell ref="AX74:BB74"/>
    <mergeCell ref="AX67:BB67"/>
    <mergeCell ref="AP57:AQ57"/>
    <mergeCell ref="AO68:AT68"/>
    <mergeCell ref="AX42:BB42"/>
    <mergeCell ref="AX43:BB43"/>
    <mergeCell ref="AX56:BB56"/>
    <mergeCell ref="AX61:BB61"/>
    <mergeCell ref="BC74:BR74"/>
    <mergeCell ref="AX70:BB70"/>
    <mergeCell ref="BC70:BR70"/>
    <mergeCell ref="AX71:BB71"/>
    <mergeCell ref="BC71:BR71"/>
    <mergeCell ref="AX72:BB72"/>
    <mergeCell ref="BC72:BR72"/>
    <mergeCell ref="AX73:BB73"/>
    <mergeCell ref="BC73:BR73"/>
    <mergeCell ref="BC67:BR67"/>
    <mergeCell ref="AX63:BB63"/>
    <mergeCell ref="BC63:BR63"/>
    <mergeCell ref="AX64:BB64"/>
    <mergeCell ref="BC64:BR64"/>
    <mergeCell ref="AX65:BB65"/>
    <mergeCell ref="BC65:BR65"/>
    <mergeCell ref="AX75:BB75"/>
    <mergeCell ref="BC75:BR75"/>
    <mergeCell ref="AX76:BB76"/>
    <mergeCell ref="BC76:BR76"/>
    <mergeCell ref="AX77:BB77"/>
    <mergeCell ref="BC77:BR77"/>
    <mergeCell ref="AF31:AG31"/>
    <mergeCell ref="AF32:AG32"/>
    <mergeCell ref="AF33:AG33"/>
    <mergeCell ref="AF34:AG34"/>
    <mergeCell ref="AF35:AG35"/>
    <mergeCell ref="AF36:AG36"/>
    <mergeCell ref="AL31:AM31"/>
    <mergeCell ref="AL32:AM32"/>
    <mergeCell ref="AL33:AM33"/>
    <mergeCell ref="AL34:AM34"/>
    <mergeCell ref="AL35:AM35"/>
    <mergeCell ref="AL36:AM36"/>
    <mergeCell ref="AN31:AR31"/>
    <mergeCell ref="AS31:AT31"/>
    <mergeCell ref="AN32:AR32"/>
    <mergeCell ref="AS32:AT32"/>
    <mergeCell ref="AX69:BB69"/>
    <mergeCell ref="BC69:BR69"/>
    <mergeCell ref="AX68:BB68"/>
    <mergeCell ref="BC68:BR68"/>
    <mergeCell ref="BZ37:CO37"/>
    <mergeCell ref="AX66:BB66"/>
    <mergeCell ref="BC66:BR66"/>
    <mergeCell ref="AP54:AQ54"/>
    <mergeCell ref="L55:P55"/>
    <mergeCell ref="R55:T55"/>
    <mergeCell ref="U55:AO55"/>
    <mergeCell ref="AP55:AQ55"/>
    <mergeCell ref="L56:P56"/>
    <mergeCell ref="R56:T56"/>
    <mergeCell ref="U56:AO56"/>
    <mergeCell ref="AP56:AQ56"/>
    <mergeCell ref="R52:T52"/>
    <mergeCell ref="U52:AO52"/>
    <mergeCell ref="L53:P53"/>
    <mergeCell ref="R53:T53"/>
    <mergeCell ref="U53:AO53"/>
    <mergeCell ref="AP53:AQ53"/>
    <mergeCell ref="R59:T59"/>
    <mergeCell ref="BT37:BY37"/>
    <mergeCell ref="AO66:AT66"/>
    <mergeCell ref="Y65:AD65"/>
    <mergeCell ref="BZ35:CO35"/>
    <mergeCell ref="E66:F66"/>
    <mergeCell ref="U23:V23"/>
    <mergeCell ref="W23:X23"/>
    <mergeCell ref="G66:H66"/>
    <mergeCell ref="Z34:AA34"/>
    <mergeCell ref="O60:Q60"/>
    <mergeCell ref="R60:T60"/>
    <mergeCell ref="Z33:AA33"/>
    <mergeCell ref="L40:O40"/>
    <mergeCell ref="Q40:T40"/>
    <mergeCell ref="X64:AT64"/>
    <mergeCell ref="Y66:AD66"/>
    <mergeCell ref="Q65:V65"/>
    <mergeCell ref="P64:V64"/>
    <mergeCell ref="K66:N66"/>
    <mergeCell ref="R41:T41"/>
    <mergeCell ref="U41:V41"/>
    <mergeCell ref="W41:AT41"/>
    <mergeCell ref="W43:AT43"/>
    <mergeCell ref="R44:T44"/>
    <mergeCell ref="AS40:AT40"/>
    <mergeCell ref="AF39:AG39"/>
    <mergeCell ref="AN35:AR35"/>
    <mergeCell ref="BT32:BY32"/>
    <mergeCell ref="BZ32:CO32"/>
    <mergeCell ref="AB32:AC32"/>
    <mergeCell ref="AD34:AE34"/>
    <mergeCell ref="AB34:AC34"/>
    <mergeCell ref="AD32:AE32"/>
    <mergeCell ref="X32:Y32"/>
    <mergeCell ref="AB33:AC33"/>
    <mergeCell ref="Z32:AA32"/>
    <mergeCell ref="AN33:AR33"/>
    <mergeCell ref="AS33:AT33"/>
    <mergeCell ref="AN34:AR34"/>
    <mergeCell ref="AS34:AT34"/>
    <mergeCell ref="AD33:AE33"/>
    <mergeCell ref="BC33:BR33"/>
    <mergeCell ref="BC34:BR34"/>
    <mergeCell ref="BC32:BR32"/>
    <mergeCell ref="X33:Y33"/>
    <mergeCell ref="AG59:AH59"/>
    <mergeCell ref="W42:AT42"/>
    <mergeCell ref="U43:V43"/>
    <mergeCell ref="R46:T46"/>
    <mergeCell ref="U44:V44"/>
    <mergeCell ref="U42:V42"/>
    <mergeCell ref="U46:V46"/>
    <mergeCell ref="U47:V47"/>
    <mergeCell ref="AP52:AT52"/>
    <mergeCell ref="AI59:AM59"/>
    <mergeCell ref="AG58:AT58"/>
    <mergeCell ref="AF59:AF60"/>
    <mergeCell ref="W46:AT46"/>
    <mergeCell ref="U54:AO54"/>
    <mergeCell ref="U51:V51"/>
    <mergeCell ref="W51:AT51"/>
    <mergeCell ref="W44:AT44"/>
    <mergeCell ref="W47:AT47"/>
    <mergeCell ref="R48:T48"/>
    <mergeCell ref="G65:H65"/>
    <mergeCell ref="I66:J66"/>
    <mergeCell ref="AO67:AT67"/>
    <mergeCell ref="AG66:AL66"/>
    <mergeCell ref="I65:J65"/>
    <mergeCell ref="K65:N65"/>
    <mergeCell ref="Q67:V67"/>
    <mergeCell ref="Q66:V66"/>
    <mergeCell ref="AI61:AM61"/>
    <mergeCell ref="I62:J62"/>
    <mergeCell ref="L62:N62"/>
    <mergeCell ref="O62:Q62"/>
    <mergeCell ref="R62:T62"/>
    <mergeCell ref="V62:AA62"/>
    <mergeCell ref="L61:N61"/>
    <mergeCell ref="O61:Q61"/>
    <mergeCell ref="R61:T61"/>
    <mergeCell ref="V61:AA61"/>
    <mergeCell ref="AG65:AL65"/>
    <mergeCell ref="AO65:AT65"/>
    <mergeCell ref="AG67:AL67"/>
    <mergeCell ref="Y67:AD67"/>
    <mergeCell ref="AC61:AE61"/>
    <mergeCell ref="K67:N67"/>
    <mergeCell ref="G67:H67"/>
    <mergeCell ref="Q70:V70"/>
    <mergeCell ref="Y68:AD68"/>
    <mergeCell ref="AG68:AL68"/>
    <mergeCell ref="H72:I72"/>
    <mergeCell ref="J71:L71"/>
    <mergeCell ref="F70:N70"/>
    <mergeCell ref="F69:N69"/>
    <mergeCell ref="K68:N68"/>
    <mergeCell ref="Q69:V69"/>
    <mergeCell ref="AG71:AL71"/>
    <mergeCell ref="Q68:V68"/>
    <mergeCell ref="I68:J68"/>
    <mergeCell ref="AG69:AL69"/>
    <mergeCell ref="AG70:AL70"/>
    <mergeCell ref="I67:J67"/>
    <mergeCell ref="CA80:CO93"/>
    <mergeCell ref="R84:AT93"/>
    <mergeCell ref="B91:P91"/>
    <mergeCell ref="I84:P84"/>
    <mergeCell ref="B85:G85"/>
    <mergeCell ref="I85:P85"/>
    <mergeCell ref="L87:P87"/>
    <mergeCell ref="B86:E86"/>
    <mergeCell ref="G86:J86"/>
    <mergeCell ref="B81:E81"/>
    <mergeCell ref="AO80:AT80"/>
    <mergeCell ref="B92:P93"/>
    <mergeCell ref="B83:P83"/>
    <mergeCell ref="R83:AT83"/>
    <mergeCell ref="B84:G84"/>
    <mergeCell ref="AG81:AL81"/>
    <mergeCell ref="AO81:AT81"/>
    <mergeCell ref="AG80:AL80"/>
    <mergeCell ref="B88:F88"/>
    <mergeCell ref="G88:P88"/>
    <mergeCell ref="L86:P86"/>
    <mergeCell ref="B87:E87"/>
    <mergeCell ref="G87:J87"/>
    <mergeCell ref="J81:L81"/>
    <mergeCell ref="BT1:CO1"/>
    <mergeCell ref="BP4:BQ4"/>
    <mergeCell ref="AW1:BJ1"/>
    <mergeCell ref="BK1:BP1"/>
    <mergeCell ref="BQ1:BR1"/>
    <mergeCell ref="BJ4:BK4"/>
    <mergeCell ref="BL2:BM2"/>
    <mergeCell ref="BN3:BO3"/>
    <mergeCell ref="BL3:BM3"/>
    <mergeCell ref="BT3:BY3"/>
    <mergeCell ref="BT4:BY4"/>
    <mergeCell ref="BZ2:CO2"/>
    <mergeCell ref="BT2:BY2"/>
    <mergeCell ref="BZ3:CO3"/>
    <mergeCell ref="BZ4:CO4"/>
    <mergeCell ref="AW3:AW7"/>
    <mergeCell ref="AX4:AY4"/>
    <mergeCell ref="BH5:BI5"/>
    <mergeCell ref="BB4:BC4"/>
    <mergeCell ref="BF6:BH6"/>
    <mergeCell ref="BP2:BQ2"/>
    <mergeCell ref="BJ2:BK2"/>
    <mergeCell ref="BD3:BE3"/>
    <mergeCell ref="BF3:BG3"/>
    <mergeCell ref="BZ5:CO5"/>
    <mergeCell ref="BT5:BY5"/>
    <mergeCell ref="BN5:BO5"/>
    <mergeCell ref="BC21:BR21"/>
    <mergeCell ref="BC18:BR18"/>
    <mergeCell ref="AX18:BB18"/>
    <mergeCell ref="BC22:BR22"/>
    <mergeCell ref="AX19:BB19"/>
    <mergeCell ref="BD5:BE5"/>
    <mergeCell ref="AX22:BB22"/>
    <mergeCell ref="BC16:BR16"/>
    <mergeCell ref="BC14:BR14"/>
    <mergeCell ref="AX17:BB17"/>
    <mergeCell ref="AX16:BB16"/>
    <mergeCell ref="BD9:BI9"/>
    <mergeCell ref="BJ9:BR9"/>
    <mergeCell ref="BF7:BH7"/>
    <mergeCell ref="BB6:BD6"/>
    <mergeCell ref="BP5:BQ5"/>
    <mergeCell ref="BB5:BC5"/>
    <mergeCell ref="AX11:BB11"/>
    <mergeCell ref="AX5:AY5"/>
    <mergeCell ref="BZ6:CO6"/>
    <mergeCell ref="BZ22:CO22"/>
    <mergeCell ref="BZ21:CO21"/>
    <mergeCell ref="BU24:BY24"/>
    <mergeCell ref="BU23:BY23"/>
    <mergeCell ref="BZ25:CO25"/>
    <mergeCell ref="BT15:BY15"/>
    <mergeCell ref="BZ15:CO15"/>
    <mergeCell ref="BU22:BY22"/>
    <mergeCell ref="BU21:BY21"/>
    <mergeCell ref="BU20:BY20"/>
    <mergeCell ref="BZ23:CO23"/>
    <mergeCell ref="BZ24:CO24"/>
    <mergeCell ref="BZ20:CO20"/>
    <mergeCell ref="BT31:CO31"/>
    <mergeCell ref="BT35:BY35"/>
    <mergeCell ref="BU29:BY29"/>
    <mergeCell ref="BZ29:CO29"/>
    <mergeCell ref="BT36:BY36"/>
    <mergeCell ref="BZ36:CO36"/>
    <mergeCell ref="BU26:BY26"/>
    <mergeCell ref="BC25:BR25"/>
    <mergeCell ref="BC31:BR31"/>
    <mergeCell ref="BC28:BR28"/>
    <mergeCell ref="BC26:BR26"/>
    <mergeCell ref="BC27:BR27"/>
    <mergeCell ref="BC30:BR30"/>
    <mergeCell ref="BC29:BR29"/>
    <mergeCell ref="BZ27:CO27"/>
    <mergeCell ref="BU25:BY25"/>
    <mergeCell ref="BT34:BY34"/>
    <mergeCell ref="BZ34:CO34"/>
    <mergeCell ref="BT33:BY33"/>
    <mergeCell ref="BU28:BY28"/>
    <mergeCell ref="BZ33:CO33"/>
    <mergeCell ref="BZ28:CO28"/>
    <mergeCell ref="BU27:BY27"/>
    <mergeCell ref="BZ26:CO26"/>
    <mergeCell ref="BZ8:CO8"/>
    <mergeCell ref="BT6:BY6"/>
    <mergeCell ref="BT8:BY8"/>
    <mergeCell ref="BT7:BY7"/>
    <mergeCell ref="BT9:BY9"/>
    <mergeCell ref="BZ9:CO9"/>
    <mergeCell ref="BU18:BY18"/>
    <mergeCell ref="BT10:BY10"/>
    <mergeCell ref="BZ19:CO19"/>
    <mergeCell ref="BU19:BY19"/>
    <mergeCell ref="BZ10:CO10"/>
    <mergeCell ref="BT12:BY12"/>
    <mergeCell ref="BZ12:CO12"/>
    <mergeCell ref="BT13:BY13"/>
    <mergeCell ref="BZ13:CO13"/>
    <mergeCell ref="BT14:BY14"/>
    <mergeCell ref="BZ14:CO14"/>
    <mergeCell ref="BT17:CO17"/>
    <mergeCell ref="BZ18:CO18"/>
    <mergeCell ref="BT11:BY11"/>
    <mergeCell ref="BZ11:CO11"/>
    <mergeCell ref="BZ7:CO7"/>
    <mergeCell ref="B65:D65"/>
    <mergeCell ref="E65:F65"/>
    <mergeCell ref="B64:N64"/>
    <mergeCell ref="BC37:BR37"/>
    <mergeCell ref="AX35:BB35"/>
    <mergeCell ref="BC36:BR36"/>
    <mergeCell ref="AX36:BB36"/>
    <mergeCell ref="R8:S8"/>
    <mergeCell ref="AA3:AT20"/>
    <mergeCell ref="BP3:BQ3"/>
    <mergeCell ref="BH4:BI4"/>
    <mergeCell ref="AX7:AZ7"/>
    <mergeCell ref="BJ5:BK5"/>
    <mergeCell ref="BL5:BM5"/>
    <mergeCell ref="AX13:BB13"/>
    <mergeCell ref="AX32:BB32"/>
    <mergeCell ref="AX24:BB24"/>
    <mergeCell ref="AX23:BB23"/>
    <mergeCell ref="AX31:BB31"/>
    <mergeCell ref="AQ39:AR39"/>
    <mergeCell ref="AX29:BB29"/>
    <mergeCell ref="BC23:BR23"/>
    <mergeCell ref="BC24:BR24"/>
    <mergeCell ref="BC20:BR20"/>
    <mergeCell ref="R49:T49"/>
    <mergeCell ref="U49:V49"/>
    <mergeCell ref="W49:AT49"/>
    <mergeCell ref="R50:T50"/>
    <mergeCell ref="U50:V50"/>
    <mergeCell ref="W50:AT50"/>
    <mergeCell ref="R45:T45"/>
    <mergeCell ref="U45:V45"/>
    <mergeCell ref="W45:AT45"/>
    <mergeCell ref="BC35:BR35"/>
    <mergeCell ref="AX38:BB38"/>
    <mergeCell ref="BC38:BR38"/>
    <mergeCell ref="AX39:BB39"/>
    <mergeCell ref="BC39:BR39"/>
    <mergeCell ref="AX40:BB40"/>
    <mergeCell ref="BC40:BR40"/>
    <mergeCell ref="AX41:BB41"/>
    <mergeCell ref="BC41:BR41"/>
    <mergeCell ref="AX2:AY2"/>
    <mergeCell ref="BH3:BI3"/>
    <mergeCell ref="BJ3:BK3"/>
    <mergeCell ref="AX3:AY3"/>
    <mergeCell ref="AZ3:BA3"/>
    <mergeCell ref="BL4:BM4"/>
    <mergeCell ref="BN4:BO4"/>
    <mergeCell ref="BF5:BG5"/>
    <mergeCell ref="AX6:AZ6"/>
    <mergeCell ref="BB2:BC2"/>
    <mergeCell ref="BD2:BE2"/>
    <mergeCell ref="AZ2:BA2"/>
    <mergeCell ref="BF2:BG2"/>
    <mergeCell ref="BF4:BG4"/>
    <mergeCell ref="BD4:BE4"/>
    <mergeCell ref="BH2:BI2"/>
    <mergeCell ref="BN2:BO2"/>
    <mergeCell ref="BB3:BC3"/>
    <mergeCell ref="AZ4:BA4"/>
    <mergeCell ref="AX25:BB25"/>
    <mergeCell ref="AX30:BB30"/>
    <mergeCell ref="AX28:BB28"/>
    <mergeCell ref="AX27:BB27"/>
    <mergeCell ref="AX26:BB26"/>
    <mergeCell ref="AX37:BB37"/>
    <mergeCell ref="AP30:AR30"/>
    <mergeCell ref="AS30:AT30"/>
    <mergeCell ref="AX33:BB33"/>
    <mergeCell ref="AX34:BB34"/>
    <mergeCell ref="AS36:AT36"/>
    <mergeCell ref="AS35:AT35"/>
    <mergeCell ref="L57:P57"/>
    <mergeCell ref="R57:T57"/>
    <mergeCell ref="U57:AO57"/>
    <mergeCell ref="T24:X24"/>
    <mergeCell ref="AQ27:AR27"/>
    <mergeCell ref="AS27:AT27"/>
    <mergeCell ref="AD28:AE28"/>
    <mergeCell ref="AF28:AI28"/>
    <mergeCell ref="AJ28:AM28"/>
    <mergeCell ref="AN28:AO28"/>
    <mergeCell ref="AQ28:AR28"/>
    <mergeCell ref="AS28:AT28"/>
    <mergeCell ref="L45:O45"/>
    <mergeCell ref="R51:T51"/>
    <mergeCell ref="AS53:AT53"/>
    <mergeCell ref="AS57:AT57"/>
    <mergeCell ref="AS56:AT56"/>
    <mergeCell ref="AS54:AT54"/>
    <mergeCell ref="AS55:AT55"/>
    <mergeCell ref="L52:N52"/>
    <mergeCell ref="R42:T42"/>
    <mergeCell ref="R54:T54"/>
    <mergeCell ref="U48:V48"/>
    <mergeCell ref="W48:AT48"/>
    <mergeCell ref="C57:E57"/>
    <mergeCell ref="C56:E56"/>
    <mergeCell ref="I57:J57"/>
    <mergeCell ref="I53:J53"/>
    <mergeCell ref="F56:G56"/>
    <mergeCell ref="I56:J56"/>
    <mergeCell ref="I55:J55"/>
    <mergeCell ref="I54:J54"/>
    <mergeCell ref="F59:G59"/>
    <mergeCell ref="F57:G57"/>
    <mergeCell ref="B58:G58"/>
    <mergeCell ref="L58:AE58"/>
    <mergeCell ref="L60:N60"/>
    <mergeCell ref="V59:AA59"/>
    <mergeCell ref="V60:AA60"/>
    <mergeCell ref="AB59:AB60"/>
    <mergeCell ref="AC59:AE59"/>
    <mergeCell ref="AC60:AE60"/>
    <mergeCell ref="U59:U60"/>
    <mergeCell ref="C55:E55"/>
    <mergeCell ref="C48:E48"/>
    <mergeCell ref="I51:J51"/>
    <mergeCell ref="C51:E51"/>
    <mergeCell ref="L51:O51"/>
    <mergeCell ref="L50:O50"/>
    <mergeCell ref="C50:E50"/>
    <mergeCell ref="C49:E49"/>
    <mergeCell ref="I50:J50"/>
    <mergeCell ref="I49:J49"/>
    <mergeCell ref="C54:E54"/>
    <mergeCell ref="L54:P54"/>
    <mergeCell ref="F54:G54"/>
    <mergeCell ref="F51:G51"/>
    <mergeCell ref="B52:G52"/>
    <mergeCell ref="C53:E53"/>
    <mergeCell ref="L49:O49"/>
    <mergeCell ref="F49:G49"/>
    <mergeCell ref="F48:G48"/>
    <mergeCell ref="I48:J48"/>
    <mergeCell ref="L48:O48"/>
    <mergeCell ref="C47:E47"/>
    <mergeCell ref="B39:G39"/>
    <mergeCell ref="H39:J39"/>
    <mergeCell ref="M36:U36"/>
    <mergeCell ref="F41:G41"/>
    <mergeCell ref="F40:G40"/>
    <mergeCell ref="F43:G43"/>
    <mergeCell ref="L46:O46"/>
    <mergeCell ref="I47:J47"/>
    <mergeCell ref="L44:O44"/>
    <mergeCell ref="B38:J38"/>
    <mergeCell ref="R47:T47"/>
    <mergeCell ref="L47:O47"/>
    <mergeCell ref="L43:O43"/>
    <mergeCell ref="I43:J43"/>
    <mergeCell ref="R43:T43"/>
    <mergeCell ref="C44:E44"/>
    <mergeCell ref="I44:J44"/>
    <mergeCell ref="C45:E45"/>
    <mergeCell ref="I45:J45"/>
    <mergeCell ref="B42:G42"/>
    <mergeCell ref="F45:G45"/>
    <mergeCell ref="O7:P7"/>
    <mergeCell ref="O5:P5"/>
    <mergeCell ref="I14:J14"/>
    <mergeCell ref="M15:N15"/>
    <mergeCell ref="O14:P14"/>
    <mergeCell ref="M13:N13"/>
    <mergeCell ref="C14:E14"/>
    <mergeCell ref="E6:H6"/>
    <mergeCell ref="K14:L14"/>
    <mergeCell ref="I7:N7"/>
    <mergeCell ref="I6:N6"/>
    <mergeCell ref="O13:P13"/>
    <mergeCell ref="K12:L12"/>
    <mergeCell ref="C15:E15"/>
    <mergeCell ref="F15:G15"/>
    <mergeCell ref="C13:E13"/>
    <mergeCell ref="M12:N12"/>
    <mergeCell ref="B8:D8"/>
    <mergeCell ref="AA21:AT21"/>
    <mergeCell ref="AA22:AD22"/>
    <mergeCell ref="AE22:AN22"/>
    <mergeCell ref="AO22:AQ22"/>
    <mergeCell ref="D40:E40"/>
    <mergeCell ref="F44:G44"/>
    <mergeCell ref="C41:E41"/>
    <mergeCell ref="I41:J41"/>
    <mergeCell ref="L42:O42"/>
    <mergeCell ref="C43:E43"/>
    <mergeCell ref="AS39:AT39"/>
    <mergeCell ref="AQ25:AR25"/>
    <mergeCell ref="AS25:AT25"/>
    <mergeCell ref="AQ26:AR26"/>
    <mergeCell ref="AS26:AT26"/>
    <mergeCell ref="AN36:AR36"/>
    <mergeCell ref="AR23:AT23"/>
    <mergeCell ref="AE23:AN23"/>
    <mergeCell ref="AH34:AK34"/>
    <mergeCell ref="AH35:AK35"/>
    <mergeCell ref="AH36:AK36"/>
    <mergeCell ref="AD36:AE36"/>
    <mergeCell ref="B35:E35"/>
    <mergeCell ref="H36:K36"/>
    <mergeCell ref="AK30:AO30"/>
    <mergeCell ref="X31:AA31"/>
    <mergeCell ref="AH31:AK31"/>
    <mergeCell ref="AH32:AK32"/>
    <mergeCell ref="AH33:AK33"/>
    <mergeCell ref="AF40:AG40"/>
    <mergeCell ref="AL40:AO40"/>
    <mergeCell ref="M33:U33"/>
    <mergeCell ref="M32:U32"/>
    <mergeCell ref="M34:U34"/>
    <mergeCell ref="R39:S39"/>
    <mergeCell ref="N31:T31"/>
    <mergeCell ref="U30:Z30"/>
    <mergeCell ref="AA30:AC30"/>
    <mergeCell ref="A1:AU1"/>
    <mergeCell ref="O9:P9"/>
    <mergeCell ref="M14:N14"/>
    <mergeCell ref="M16:N16"/>
    <mergeCell ref="W15:X15"/>
    <mergeCell ref="W14:X14"/>
    <mergeCell ref="R13:S13"/>
    <mergeCell ref="B6:D6"/>
    <mergeCell ref="O6:P6"/>
    <mergeCell ref="W12:X12"/>
    <mergeCell ref="K13:L13"/>
    <mergeCell ref="F14:G14"/>
    <mergeCell ref="B4:D4"/>
    <mergeCell ref="R7:S7"/>
    <mergeCell ref="B7:D7"/>
    <mergeCell ref="O12:P12"/>
    <mergeCell ref="T6:X6"/>
    <mergeCell ref="R12:S12"/>
    <mergeCell ref="I13:J13"/>
    <mergeCell ref="B3:D3"/>
    <mergeCell ref="E4:N4"/>
    <mergeCell ref="B9:D9"/>
    <mergeCell ref="E7:H7"/>
    <mergeCell ref="E3:N3"/>
    <mergeCell ref="AR22:AT22"/>
    <mergeCell ref="X20:Y20"/>
    <mergeCell ref="W18:X18"/>
    <mergeCell ref="R18:S18"/>
    <mergeCell ref="BC19:BR19"/>
    <mergeCell ref="O18:P18"/>
    <mergeCell ref="T17:U17"/>
    <mergeCell ref="R17:S17"/>
    <mergeCell ref="W17:X17"/>
    <mergeCell ref="AX21:BB21"/>
    <mergeCell ref="BC17:BR17"/>
    <mergeCell ref="AX20:BB20"/>
    <mergeCell ref="B20:Q20"/>
    <mergeCell ref="I18:J18"/>
    <mergeCell ref="C18:E18"/>
    <mergeCell ref="G21:H21"/>
    <mergeCell ref="F18:G18"/>
    <mergeCell ref="T18:U18"/>
    <mergeCell ref="R20:W20"/>
    <mergeCell ref="K18:L18"/>
    <mergeCell ref="G22:H22"/>
    <mergeCell ref="P22:Q22"/>
    <mergeCell ref="V22:X22"/>
    <mergeCell ref="V21:W21"/>
    <mergeCell ref="AX15:BB15"/>
    <mergeCell ref="T12:U12"/>
    <mergeCell ref="AX14:BB14"/>
    <mergeCell ref="BC12:BR12"/>
    <mergeCell ref="T16:U16"/>
    <mergeCell ref="R16:S16"/>
    <mergeCell ref="W13:X13"/>
    <mergeCell ref="W16:X16"/>
    <mergeCell ref="T13:U13"/>
    <mergeCell ref="T14:U14"/>
    <mergeCell ref="T15:U15"/>
    <mergeCell ref="R14:S14"/>
    <mergeCell ref="R15:S15"/>
    <mergeCell ref="BC13:BR13"/>
    <mergeCell ref="BC15:BR15"/>
    <mergeCell ref="AX12:BB12"/>
    <mergeCell ref="T7:X7"/>
    <mergeCell ref="T8:X8"/>
    <mergeCell ref="T9:X9"/>
    <mergeCell ref="AX10:BB10"/>
    <mergeCell ref="AZ5:BA5"/>
    <mergeCell ref="BB7:BD7"/>
    <mergeCell ref="BC10:BR10"/>
    <mergeCell ref="BC11:BR11"/>
    <mergeCell ref="AW9:BB9"/>
    <mergeCell ref="BI6:BQ7"/>
    <mergeCell ref="R11:W11"/>
    <mergeCell ref="X11:Y11"/>
    <mergeCell ref="B34:E34"/>
    <mergeCell ref="H34:K34"/>
    <mergeCell ref="B33:E33"/>
    <mergeCell ref="M27:N27"/>
    <mergeCell ref="I17:J17"/>
    <mergeCell ref="F27:I27"/>
    <mergeCell ref="B32:E32"/>
    <mergeCell ref="F17:G17"/>
    <mergeCell ref="B22:C22"/>
    <mergeCell ref="D22:E22"/>
    <mergeCell ref="B23:C23"/>
    <mergeCell ref="D23:E23"/>
    <mergeCell ref="J23:K23"/>
    <mergeCell ref="L23:N23"/>
    <mergeCell ref="J24:K24"/>
    <mergeCell ref="B30:T30"/>
    <mergeCell ref="B25:E25"/>
    <mergeCell ref="F25:I25"/>
    <mergeCell ref="H33:K33"/>
    <mergeCell ref="B31:D31"/>
    <mergeCell ref="H32:K32"/>
    <mergeCell ref="H31:J31"/>
    <mergeCell ref="W4:X4"/>
    <mergeCell ref="W3:X3"/>
    <mergeCell ref="S3:U4"/>
    <mergeCell ref="K16:L16"/>
    <mergeCell ref="M18:N18"/>
    <mergeCell ref="K15:L15"/>
    <mergeCell ref="O15:P15"/>
    <mergeCell ref="M17:N17"/>
    <mergeCell ref="O17:P17"/>
    <mergeCell ref="K17:L17"/>
    <mergeCell ref="Q3:R4"/>
    <mergeCell ref="R6:S6"/>
    <mergeCell ref="R9:S9"/>
    <mergeCell ref="B11:Q11"/>
    <mergeCell ref="F12:G12"/>
    <mergeCell ref="O8:P8"/>
    <mergeCell ref="E8:H8"/>
    <mergeCell ref="E5:H5"/>
    <mergeCell ref="I5:N5"/>
    <mergeCell ref="I12:J12"/>
    <mergeCell ref="E9:N9"/>
    <mergeCell ref="I8:N8"/>
    <mergeCell ref="F13:G13"/>
    <mergeCell ref="F16:G16"/>
    <mergeCell ref="G23:H23"/>
    <mergeCell ref="I16:J16"/>
    <mergeCell ref="I15:J15"/>
    <mergeCell ref="C16:E16"/>
    <mergeCell ref="R22:T22"/>
    <mergeCell ref="S21:T21"/>
    <mergeCell ref="C17:E17"/>
    <mergeCell ref="B27:E27"/>
    <mergeCell ref="R23:S23"/>
    <mergeCell ref="P23:Q23"/>
    <mergeCell ref="O16:P16"/>
    <mergeCell ref="B28:E28"/>
    <mergeCell ref="F28:I28"/>
    <mergeCell ref="J28:K28"/>
    <mergeCell ref="M28:N28"/>
    <mergeCell ref="O28:P28"/>
    <mergeCell ref="Q28:T28"/>
    <mergeCell ref="G24:H24"/>
    <mergeCell ref="B26:E26"/>
    <mergeCell ref="B24:C24"/>
    <mergeCell ref="D24:E24"/>
    <mergeCell ref="F26:I26"/>
    <mergeCell ref="J26:K26"/>
    <mergeCell ref="M26:N26"/>
    <mergeCell ref="L24:N24"/>
    <mergeCell ref="P24:S24"/>
    <mergeCell ref="AA23:AD23"/>
    <mergeCell ref="V40:AD40"/>
    <mergeCell ref="X34:Y34"/>
    <mergeCell ref="AD35:AE35"/>
    <mergeCell ref="AB36:AC36"/>
    <mergeCell ref="Z36:AA36"/>
    <mergeCell ref="M35:U35"/>
    <mergeCell ref="O25:P25"/>
    <mergeCell ref="Q25:T25"/>
    <mergeCell ref="U25:X25"/>
    <mergeCell ref="Y25:Z25"/>
    <mergeCell ref="AB25:AC25"/>
    <mergeCell ref="O26:P26"/>
    <mergeCell ref="Q26:T26"/>
    <mergeCell ref="X36:Y36"/>
    <mergeCell ref="AA24:AD24"/>
    <mergeCell ref="AE24:AN24"/>
    <mergeCell ref="AE30:AJ30"/>
    <mergeCell ref="V39:AD39"/>
    <mergeCell ref="AF25:AI25"/>
    <mergeCell ref="AJ25:AM25"/>
    <mergeCell ref="AF26:AI26"/>
    <mergeCell ref="AJ26:AM26"/>
    <mergeCell ref="AB31:AE31"/>
    <mergeCell ref="B80:D80"/>
    <mergeCell ref="Q80:V80"/>
    <mergeCell ref="Q77:V77"/>
    <mergeCell ref="B78:D78"/>
    <mergeCell ref="E78:F78"/>
    <mergeCell ref="H79:I79"/>
    <mergeCell ref="AW80:BK93"/>
    <mergeCell ref="AO79:AT79"/>
    <mergeCell ref="AG79:AL79"/>
    <mergeCell ref="AG78:AL78"/>
    <mergeCell ref="AG77:AL77"/>
    <mergeCell ref="F81:H81"/>
    <mergeCell ref="Q81:V81"/>
    <mergeCell ref="Y81:AD81"/>
    <mergeCell ref="H78:I78"/>
    <mergeCell ref="H77:I77"/>
    <mergeCell ref="J79:L79"/>
    <mergeCell ref="J80:L80"/>
    <mergeCell ref="E79:F79"/>
    <mergeCell ref="B79:D79"/>
    <mergeCell ref="Y80:AD80"/>
    <mergeCell ref="E80:F80"/>
    <mergeCell ref="H80:I80"/>
    <mergeCell ref="Y79:AD79"/>
    <mergeCell ref="AS38:AT38"/>
    <mergeCell ref="AW79:BK79"/>
    <mergeCell ref="Q79:V79"/>
    <mergeCell ref="AO71:AT71"/>
    <mergeCell ref="BL80:BZ93"/>
    <mergeCell ref="B74:D74"/>
    <mergeCell ref="E74:F74"/>
    <mergeCell ref="AI62:AM62"/>
    <mergeCell ref="AN60:AT60"/>
    <mergeCell ref="AP59:AT59"/>
    <mergeCell ref="C62:E62"/>
    <mergeCell ref="F62:G62"/>
    <mergeCell ref="I61:J61"/>
    <mergeCell ref="AG60:AH60"/>
    <mergeCell ref="AI60:AM60"/>
    <mergeCell ref="B89:P90"/>
    <mergeCell ref="J77:L77"/>
    <mergeCell ref="J78:L78"/>
    <mergeCell ref="J75:L75"/>
    <mergeCell ref="AG61:AH61"/>
    <mergeCell ref="AN61:AT62"/>
    <mergeCell ref="AG62:AH62"/>
    <mergeCell ref="C59:E59"/>
    <mergeCell ref="F60:G60"/>
    <mergeCell ref="AM38:AR38"/>
    <mergeCell ref="Z35:AA35"/>
    <mergeCell ref="AB35:AC35"/>
    <mergeCell ref="H35:K35"/>
    <mergeCell ref="AH39:AJ39"/>
    <mergeCell ref="B70:E70"/>
    <mergeCell ref="B69:E69"/>
    <mergeCell ref="B68:D68"/>
    <mergeCell ref="AQ40:AR40"/>
    <mergeCell ref="AI40:AJ40"/>
    <mergeCell ref="F50:G50"/>
    <mergeCell ref="F53:G53"/>
    <mergeCell ref="F55:G55"/>
    <mergeCell ref="C61:E61"/>
    <mergeCell ref="F61:G61"/>
    <mergeCell ref="AC62:AE62"/>
    <mergeCell ref="L41:N41"/>
    <mergeCell ref="I40:J40"/>
    <mergeCell ref="L39:N39"/>
    <mergeCell ref="L38:AL38"/>
    <mergeCell ref="X35:Y35"/>
    <mergeCell ref="B46:G46"/>
    <mergeCell ref="F47:G47"/>
    <mergeCell ref="B36:E36"/>
    <mergeCell ref="Y72:AD72"/>
    <mergeCell ref="H75:I75"/>
    <mergeCell ref="P75:AD75"/>
    <mergeCell ref="H73:I73"/>
    <mergeCell ref="J73:L73"/>
    <mergeCell ref="J74:L74"/>
    <mergeCell ref="CA79:CO79"/>
    <mergeCell ref="B73:D73"/>
    <mergeCell ref="AN59:AO59"/>
    <mergeCell ref="E73:F73"/>
    <mergeCell ref="E71:I71"/>
    <mergeCell ref="E72:F72"/>
    <mergeCell ref="J72:L72"/>
    <mergeCell ref="BL79:BZ79"/>
    <mergeCell ref="C60:E60"/>
    <mergeCell ref="I60:J60"/>
    <mergeCell ref="I59:J59"/>
    <mergeCell ref="L59:N59"/>
    <mergeCell ref="O59:Q59"/>
    <mergeCell ref="B67:D67"/>
    <mergeCell ref="E67:F67"/>
    <mergeCell ref="E68:F68"/>
    <mergeCell ref="G68:H68"/>
    <mergeCell ref="B66:D66"/>
    <mergeCell ref="AO75:AT75"/>
    <mergeCell ref="AO73:AT73"/>
    <mergeCell ref="AO74:AT74"/>
    <mergeCell ref="Y76:AD76"/>
    <mergeCell ref="Y78:AD78"/>
    <mergeCell ref="J76:L76"/>
    <mergeCell ref="B72:D72"/>
    <mergeCell ref="B71:D71"/>
    <mergeCell ref="E76:F76"/>
    <mergeCell ref="B77:D77"/>
    <mergeCell ref="E77:F77"/>
    <mergeCell ref="B75:D75"/>
    <mergeCell ref="Q72:V72"/>
    <mergeCell ref="Q71:V71"/>
    <mergeCell ref="AG72:AL72"/>
    <mergeCell ref="AG73:AL73"/>
    <mergeCell ref="AG74:AL74"/>
    <mergeCell ref="B76:D76"/>
    <mergeCell ref="H76:I76"/>
    <mergeCell ref="E75:F75"/>
    <mergeCell ref="H74:I74"/>
    <mergeCell ref="Y73:AD73"/>
    <mergeCell ref="AG75:AL75"/>
    <mergeCell ref="Y71:AD71"/>
    <mergeCell ref="BC42:BR42"/>
    <mergeCell ref="BT45:BU45"/>
    <mergeCell ref="BV45:BW45"/>
    <mergeCell ref="BX45:BY45"/>
    <mergeCell ref="AO76:AT76"/>
    <mergeCell ref="Q78:V78"/>
    <mergeCell ref="AO78:AT78"/>
    <mergeCell ref="AO77:AT77"/>
    <mergeCell ref="Q73:V73"/>
    <mergeCell ref="AO70:AT70"/>
    <mergeCell ref="AO69:AT69"/>
    <mergeCell ref="AO72:AT72"/>
    <mergeCell ref="Y69:AD69"/>
    <mergeCell ref="Y70:AD70"/>
    <mergeCell ref="BC43:BR43"/>
    <mergeCell ref="AX44:BB44"/>
    <mergeCell ref="AX45:BB45"/>
    <mergeCell ref="BC45:BR45"/>
    <mergeCell ref="AX46:BB46"/>
    <mergeCell ref="BC46:BR46"/>
    <mergeCell ref="AX47:BB47"/>
    <mergeCell ref="Y77:AD77"/>
    <mergeCell ref="AG76:AL76"/>
    <mergeCell ref="Q76:V76"/>
    <mergeCell ref="AX59:BB59"/>
    <mergeCell ref="BC59:BR59"/>
    <mergeCell ref="CN45:CO45"/>
    <mergeCell ref="CN46:CO46"/>
    <mergeCell ref="BT42:BV42"/>
    <mergeCell ref="BW42:BY42"/>
    <mergeCell ref="BC52:BR52"/>
    <mergeCell ref="AX53:BB53"/>
    <mergeCell ref="BC53:BR53"/>
    <mergeCell ref="AX54:BB54"/>
    <mergeCell ref="BC54:BR54"/>
    <mergeCell ref="BC47:BR47"/>
    <mergeCell ref="AX48:BB48"/>
    <mergeCell ref="BC48:BR48"/>
    <mergeCell ref="AX49:BB49"/>
    <mergeCell ref="BC49:BR49"/>
    <mergeCell ref="AX50:BB50"/>
    <mergeCell ref="BC50:BR50"/>
    <mergeCell ref="AX51:BB51"/>
    <mergeCell ref="BC51:BR51"/>
    <mergeCell ref="AX52:BB52"/>
    <mergeCell ref="CD46:CE46"/>
    <mergeCell ref="CF46:CG46"/>
    <mergeCell ref="CB45:CC45"/>
    <mergeCell ref="BT44:BU44"/>
    <mergeCell ref="BV44:BW44"/>
    <mergeCell ref="CB46:CC46"/>
    <mergeCell ref="CJ45:CK45"/>
    <mergeCell ref="CJ46:CK46"/>
    <mergeCell ref="CL45:CM45"/>
    <mergeCell ref="CL46:CM46"/>
    <mergeCell ref="AX58:BB58"/>
    <mergeCell ref="BC58:BR58"/>
    <mergeCell ref="CD45:CE45"/>
    <mergeCell ref="CF45:CG45"/>
    <mergeCell ref="AX55:BB55"/>
    <mergeCell ref="BC55:BR55"/>
    <mergeCell ref="BC44:BR44"/>
    <mergeCell ref="CF41:CG41"/>
    <mergeCell ref="CI41:CJ41"/>
    <mergeCell ref="CK41:CL41"/>
    <mergeCell ref="CN41:CO41"/>
    <mergeCell ref="BZ42:CC42"/>
    <mergeCell ref="CD42:CO42"/>
    <mergeCell ref="BT40:BW40"/>
    <mergeCell ref="BX40:CB40"/>
    <mergeCell ref="CD40:CE40"/>
    <mergeCell ref="CK40:CL40"/>
    <mergeCell ref="CN40:CO40"/>
    <mergeCell ref="CF44:CG44"/>
    <mergeCell ref="CJ44:CK44"/>
    <mergeCell ref="CL44:CM44"/>
    <mergeCell ref="CN44:CO44"/>
    <mergeCell ref="BT67:CO77"/>
    <mergeCell ref="AL39:AN39"/>
    <mergeCell ref="CF47:CG47"/>
    <mergeCell ref="CJ47:CK47"/>
    <mergeCell ref="CL47:CM47"/>
    <mergeCell ref="CN47:CO47"/>
    <mergeCell ref="BT48:CO48"/>
    <mergeCell ref="BT49:CO54"/>
    <mergeCell ref="BT55:CO55"/>
    <mergeCell ref="BT56:CO65"/>
    <mergeCell ref="BT66:CO66"/>
    <mergeCell ref="BT43:BV43"/>
    <mergeCell ref="BW43:BY43"/>
    <mergeCell ref="BZ43:CC43"/>
    <mergeCell ref="CD43:CO43"/>
    <mergeCell ref="BT47:BU47"/>
    <mergeCell ref="BC62:BR62"/>
    <mergeCell ref="AX60:BB60"/>
    <mergeCell ref="BC60:BR60"/>
    <mergeCell ref="BC61:BR61"/>
    <mergeCell ref="AX62:BB62"/>
    <mergeCell ref="BX47:BY47"/>
    <mergeCell ref="CB47:CC47"/>
    <mergeCell ref="CD47:CE47"/>
    <mergeCell ref="BT46:BU46"/>
    <mergeCell ref="BV46:BW46"/>
    <mergeCell ref="BX46:BY46"/>
    <mergeCell ref="AO23:AQ23"/>
    <mergeCell ref="BV47:BW47"/>
    <mergeCell ref="AO24:AQ24"/>
    <mergeCell ref="AR24:AT24"/>
    <mergeCell ref="AN25:AO25"/>
    <mergeCell ref="AN26:AO26"/>
    <mergeCell ref="BX44:BY44"/>
    <mergeCell ref="CB44:CC44"/>
    <mergeCell ref="CD44:CE44"/>
    <mergeCell ref="BC56:BR56"/>
    <mergeCell ref="AX57:BB57"/>
    <mergeCell ref="BC57:BR57"/>
    <mergeCell ref="BT39:CO39"/>
    <mergeCell ref="CF40:CJ40"/>
    <mergeCell ref="BT41:BW41"/>
    <mergeCell ref="BX41:CB41"/>
    <mergeCell ref="CD41:CE41"/>
    <mergeCell ref="AF27:AI27"/>
    <mergeCell ref="AJ27:AM27"/>
    <mergeCell ref="AN27:AO27"/>
    <mergeCell ref="U28:X28"/>
    <mergeCell ref="Y28:Z28"/>
    <mergeCell ref="AB28:AC28"/>
    <mergeCell ref="AD25:AE25"/>
    <mergeCell ref="Y27:Z27"/>
    <mergeCell ref="J25:K25"/>
    <mergeCell ref="M25:N25"/>
    <mergeCell ref="U27:X27"/>
    <mergeCell ref="U26:X26"/>
    <mergeCell ref="Y26:Z26"/>
    <mergeCell ref="AD26:AE26"/>
    <mergeCell ref="AB26:AC26"/>
    <mergeCell ref="AB27:AC27"/>
    <mergeCell ref="AD27:AE27"/>
    <mergeCell ref="O27:P27"/>
    <mergeCell ref="Q27:T27"/>
    <mergeCell ref="J27:K27"/>
  </mergeCells>
  <phoneticPr fontId="49" type="noConversion"/>
  <conditionalFormatting sqref="C13">
    <cfRule type="expression" dxfId="130" priority="177">
      <formula>$B$13="O"</formula>
    </cfRule>
  </conditionalFormatting>
  <conditionalFormatting sqref="C14">
    <cfRule type="expression" dxfId="129" priority="176">
      <formula>$B$14="O"</formula>
    </cfRule>
  </conditionalFormatting>
  <conditionalFormatting sqref="C15">
    <cfRule type="expression" dxfId="128" priority="175">
      <formula>$B$15="O"</formula>
    </cfRule>
  </conditionalFormatting>
  <conditionalFormatting sqref="C16">
    <cfRule type="expression" dxfId="127" priority="174">
      <formula>$B$16="O"</formula>
    </cfRule>
  </conditionalFormatting>
  <conditionalFormatting sqref="C17">
    <cfRule type="expression" dxfId="126" priority="173">
      <formula>$B$17="O"</formula>
    </cfRule>
  </conditionalFormatting>
  <conditionalFormatting sqref="C18">
    <cfRule type="expression" dxfId="125" priority="172">
      <formula>$B$18="O"</formula>
    </cfRule>
  </conditionalFormatting>
  <conditionalFormatting sqref="C41">
    <cfRule type="expression" dxfId="124" priority="151">
      <formula>$B$41="O"</formula>
    </cfRule>
  </conditionalFormatting>
  <conditionalFormatting sqref="C43">
    <cfRule type="expression" dxfId="123" priority="199">
      <formula>$B$43="O"</formula>
    </cfRule>
  </conditionalFormatting>
  <conditionalFormatting sqref="C44">
    <cfRule type="expression" dxfId="122" priority="198">
      <formula>$B$44="O"</formula>
    </cfRule>
  </conditionalFormatting>
  <conditionalFormatting sqref="C45">
    <cfRule type="expression" dxfId="121" priority="197">
      <formula>$B$45="O"</formula>
    </cfRule>
  </conditionalFormatting>
  <conditionalFormatting sqref="C47">
    <cfRule type="expression" dxfId="120" priority="196">
      <formula>$B$47="O"</formula>
    </cfRule>
  </conditionalFormatting>
  <conditionalFormatting sqref="C48">
    <cfRule type="expression" dxfId="119" priority="195">
      <formula>$B$48="O"</formula>
    </cfRule>
  </conditionalFormatting>
  <conditionalFormatting sqref="C49">
    <cfRule type="expression" dxfId="118" priority="194">
      <formula>$B$49="O"</formula>
    </cfRule>
  </conditionalFormatting>
  <conditionalFormatting sqref="C50">
    <cfRule type="expression" dxfId="117" priority="193">
      <formula>$B$50="O"</formula>
    </cfRule>
  </conditionalFormatting>
  <conditionalFormatting sqref="C51">
    <cfRule type="expression" dxfId="116" priority="192">
      <formula>$B$51="O"</formula>
    </cfRule>
  </conditionalFormatting>
  <conditionalFormatting sqref="C53">
    <cfRule type="expression" dxfId="115" priority="191">
      <formula>$B$53="O"</formula>
    </cfRule>
  </conditionalFormatting>
  <conditionalFormatting sqref="C54">
    <cfRule type="expression" dxfId="114" priority="190">
      <formula>$B$54="O"</formula>
    </cfRule>
  </conditionalFormatting>
  <conditionalFormatting sqref="C55">
    <cfRule type="expression" dxfId="113" priority="189">
      <formula>$B$55="O"</formula>
    </cfRule>
  </conditionalFormatting>
  <conditionalFormatting sqref="C56">
    <cfRule type="expression" dxfId="112" priority="188">
      <formula>$B$56="O"</formula>
    </cfRule>
  </conditionalFormatting>
  <conditionalFormatting sqref="C57">
    <cfRule type="expression" dxfId="111" priority="187">
      <formula>$B$57="O"</formula>
    </cfRule>
  </conditionalFormatting>
  <conditionalFormatting sqref="C59">
    <cfRule type="expression" dxfId="110" priority="186">
      <formula>$B$59="O"</formula>
    </cfRule>
  </conditionalFormatting>
  <conditionalFormatting sqref="C60">
    <cfRule type="expression" dxfId="109" priority="185">
      <formula>$B$60="O"</formula>
    </cfRule>
  </conditionalFormatting>
  <conditionalFormatting sqref="C61">
    <cfRule type="expression" dxfId="108" priority="184">
      <formula>$B$61="O"</formula>
    </cfRule>
  </conditionalFormatting>
  <conditionalFormatting sqref="C62">
    <cfRule type="expression" dxfId="107" priority="183">
      <formula>$B$62="O"</formula>
    </cfRule>
  </conditionalFormatting>
  <conditionalFormatting sqref="C41:E41">
    <cfRule type="expression" dxfId="106" priority="150">
      <formula>$B$41="🅞"</formula>
    </cfRule>
  </conditionalFormatting>
  <conditionalFormatting sqref="C43:E43">
    <cfRule type="expression" dxfId="105" priority="149">
      <formula>$B$43="🅞"</formula>
    </cfRule>
  </conditionalFormatting>
  <conditionalFormatting sqref="C44:E44">
    <cfRule type="expression" dxfId="104" priority="148">
      <formula>$B$44="🅞"</formula>
    </cfRule>
  </conditionalFormatting>
  <conditionalFormatting sqref="C45:E45">
    <cfRule type="expression" dxfId="103" priority="147">
      <formula>$B$45="🅞"</formula>
    </cfRule>
  </conditionalFormatting>
  <conditionalFormatting sqref="C47:E47">
    <cfRule type="expression" dxfId="102" priority="146">
      <formula>$B$47="🅞"</formula>
    </cfRule>
  </conditionalFormatting>
  <conditionalFormatting sqref="C48:E48">
    <cfRule type="expression" dxfId="101" priority="145">
      <formula>$B$48="🅞"</formula>
    </cfRule>
  </conditionalFormatting>
  <conditionalFormatting sqref="C49:E49">
    <cfRule type="expression" dxfId="100" priority="144">
      <formula>$B$49="🅞"</formula>
    </cfRule>
  </conditionalFormatting>
  <conditionalFormatting sqref="C50:E50">
    <cfRule type="expression" dxfId="99" priority="143">
      <formula>$B$50="🅞"</formula>
    </cfRule>
  </conditionalFormatting>
  <conditionalFormatting sqref="C51:E51">
    <cfRule type="expression" dxfId="98" priority="142">
      <formula>$B$51="🅞"</formula>
    </cfRule>
  </conditionalFormatting>
  <conditionalFormatting sqref="C53:E53">
    <cfRule type="expression" dxfId="97" priority="141">
      <formula>$B$53="🅞"</formula>
    </cfRule>
  </conditionalFormatting>
  <conditionalFormatting sqref="C54:E54">
    <cfRule type="expression" dxfId="96" priority="140">
      <formula>$B$54="🅞"</formula>
    </cfRule>
  </conditionalFormatting>
  <conditionalFormatting sqref="C55:E55">
    <cfRule type="expression" dxfId="95" priority="139">
      <formula>$B$55="🅞"</formula>
    </cfRule>
  </conditionalFormatting>
  <conditionalFormatting sqref="C56:E56">
    <cfRule type="expression" dxfId="94" priority="138">
      <formula>$B$56="🅞"</formula>
    </cfRule>
  </conditionalFormatting>
  <conditionalFormatting sqref="C57:E57">
    <cfRule type="expression" dxfId="93" priority="137">
      <formula>$B$57="🅞"</formula>
    </cfRule>
  </conditionalFormatting>
  <conditionalFormatting sqref="C59:E59">
    <cfRule type="expression" dxfId="92" priority="136">
      <formula>$B$59="🅞"</formula>
    </cfRule>
  </conditionalFormatting>
  <conditionalFormatting sqref="C60:E60">
    <cfRule type="expression" dxfId="91" priority="135">
      <formula>$B$60="🅞"</formula>
    </cfRule>
  </conditionalFormatting>
  <conditionalFormatting sqref="C61:E61">
    <cfRule type="expression" dxfId="90" priority="134">
      <formula>$B$61="🅞"</formula>
    </cfRule>
  </conditionalFormatting>
  <conditionalFormatting sqref="C62:E62">
    <cfRule type="expression" dxfId="89" priority="133">
      <formula>$B$62="🅞"</formula>
    </cfRule>
  </conditionalFormatting>
  <conditionalFormatting sqref="E9:J9">
    <cfRule type="dataBar" priority="246">
      <dataBar>
        <cfvo type="num" val="0"/>
        <cfvo type="num" val="355000"/>
        <color rgb="FF00CC5B"/>
      </dataBar>
      <extLst>
        <ext xmlns:x14="http://schemas.microsoft.com/office/spreadsheetml/2009/9/main" uri="{B025F937-C7B1-47D3-B67F-A62EFF666E3E}">
          <x14:id>{1E60C9E8-791E-4C8E-87D4-84A42FAC694C}</x14:id>
        </ext>
      </extLst>
    </cfRule>
  </conditionalFormatting>
  <conditionalFormatting sqref="P66:P73 X66:X73 AF66:AF81 AN66:AN81 P77:P81 X77:X81">
    <cfRule type="containsText" dxfId="88" priority="105" operator="containsText" text=" ">
      <formula>NOT(ISERROR(SEARCH(" ",P66)))</formula>
    </cfRule>
  </conditionalFormatting>
  <conditionalFormatting sqref="Q81:V81">
    <cfRule type="expression" dxfId="75" priority="58">
      <formula>$I$18=1</formula>
    </cfRule>
  </conditionalFormatting>
  <conditionalFormatting sqref="X66:X73 AF66:AF80 AN66:AN80">
    <cfRule type="containsText" dxfId="73" priority="169" operator="containsText" text=".">
      <formula>NOT(ISERROR(SEARCH(".",X66)))</formula>
    </cfRule>
  </conditionalFormatting>
  <conditionalFormatting sqref="Y77:AD80 Q77:V80 Q66:V73 AG66:AL80 AO66:AT80 Y66:AD73">
    <cfRule type="duplicateValues" dxfId="63" priority="254"/>
  </conditionalFormatting>
  <conditionalFormatting sqref="Y81:AD81">
    <cfRule type="expression" dxfId="59" priority="57">
      <formula>$I$19=1</formula>
    </cfRule>
  </conditionalFormatting>
  <conditionalFormatting sqref="AF32:AG36 AL32:AM36 AS32:AT36">
    <cfRule type="containsText" dxfId="58" priority="23" operator="containsText" text="心灵">
      <formula>NOT(ISERROR(SEARCH("心灵",AF32)))</formula>
    </cfRule>
    <cfRule type="containsText" dxfId="57" priority="21" operator="containsText" text="强酸">
      <formula>NOT(ISERROR(SEARCH("强酸",AF32)))</formula>
    </cfRule>
    <cfRule type="containsText" dxfId="56" priority="22" operator="containsText" text="雷鸣">
      <formula>NOT(ISERROR(SEARCH("雷鸣",AF32)))</formula>
    </cfRule>
    <cfRule type="containsText" dxfId="55" priority="24" operator="containsText" text="毒素">
      <formula>NOT(ISERROR(SEARCH("毒素",AF32)))</formula>
    </cfRule>
    <cfRule type="containsText" dxfId="54" priority="25" operator="containsText" text="暗蚀">
      <formula>NOT(ISERROR(SEARCH("暗蚀",AF32)))</formula>
    </cfRule>
    <cfRule type="containsText" dxfId="53" priority="28" operator="containsText" text="闪电">
      <formula>NOT(ISERROR(SEARCH("闪电",AF32)))</formula>
    </cfRule>
    <cfRule type="containsText" dxfId="52" priority="26" operator="containsText" text="光耀">
      <formula>NOT(ISERROR(SEARCH("光耀",AF32)))</formula>
    </cfRule>
    <cfRule type="containsText" dxfId="51" priority="27" operator="containsText" text="力场">
      <formula>NOT(ISERROR(SEARCH("力场",AF32)))</formula>
    </cfRule>
    <cfRule type="containsText" dxfId="50" priority="29" operator="containsText" text="火焰">
      <formula>NOT(ISERROR(SEARCH("火焰",AF32)))</formula>
    </cfRule>
    <cfRule type="containsText" dxfId="49" priority="30" operator="containsText" text="冷冻">
      <formula>NOT(ISERROR(SEARCH("冷冻",AF32)))</formula>
    </cfRule>
  </conditionalFormatting>
  <conditionalFormatting sqref="AG81:AL81">
    <cfRule type="expression" dxfId="33" priority="56">
      <formula>$I$20=1</formula>
    </cfRule>
  </conditionalFormatting>
  <conditionalFormatting sqref="AO81:AT81 AG81:AL81 Y81:AD81 Q81:V81">
    <cfRule type="duplicateValues" dxfId="17" priority="59"/>
  </conditionalFormatting>
  <conditionalFormatting sqref="AO81:AT81">
    <cfRule type="expression" dxfId="16" priority="55">
      <formula>$I$21=1</formula>
    </cfRule>
  </conditionalFormatting>
  <conditionalFormatting sqref="AX3:BQ3 AX5:BQ5">
    <cfRule type="expression" dxfId="15" priority="132">
      <formula>$BQ$1="是"</formula>
    </cfRule>
  </conditionalFormatting>
  <dataValidations xWindow="381" yWindow="704" count="19">
    <dataValidation type="list" allowBlank="1" showInputMessage="1" showErrorMessage="1" sqref="L24 N24" xr:uid="{B28DE7D9-EB69-4E25-A82C-F9BAEDD5D76E}">
      <formula1>"力量,敏捷,体质,智力,感知,魅力"</formula1>
    </dataValidation>
    <dataValidation allowBlank="1" showInputMessage="1" showErrorMessage="1" prompt="由于部分武器仅具有命中或伤害加值，因此该处加值只会被攻击骰结算。_x000a_如需加上伤害骰加值可以直接修改伤害骰。_x000a_" sqref="L32:L36" xr:uid="{3CAE07C6-95E4-402E-8694-5FB467030CE1}"/>
    <dataValidation type="list" allowBlank="1" showInputMessage="1" showErrorMessage="1" sqref="B41 B43:B45 B47:B51 B53:B57 B59:B62" xr:uid="{68193495-B71C-46DE-949B-0C3BA0DCC9A5}">
      <formula1>"X,O,🅞"</formula1>
    </dataValidation>
    <dataValidation type="list" allowBlank="1" showInputMessage="1" showErrorMessage="1" sqref="AS40:AT40 BQ1:BR1 X20" xr:uid="{F0D725F2-9A77-479A-89D3-5C0C5E661967}">
      <formula1>"是,否"</formula1>
    </dataValidation>
    <dataValidation type="list" allowBlank="1" showInputMessage="1" sqref="T8:X8" xr:uid="{5DC24B67-1ABB-48DF-849A-D45CF041E93C}">
      <formula1>"守序善良,中立善良,混乱善良,守序中立,绝对中立,混乱中立,守序邪恶,中立邪恶,混乱邪恶,无阵营"</formula1>
    </dataValidation>
    <dataValidation type="list" allowBlank="1" showInputMessage="1" showErrorMessage="1" sqref="B13:B18 W32:W36 P40 F32:F36 AP40 P42:P50 H39:J39" xr:uid="{849B3F3C-6A7B-417A-B88B-9D219BB5555E}">
      <formula1>"X,O"</formula1>
    </dataValidation>
    <dataValidation type="list" allowBlank="1" showInputMessage="1" showErrorMessage="1" sqref="V61" xr:uid="{10330ECE-5B2D-4EF0-B792-0644E62BB8E5}">
      <formula1>"最大载重,负重状态"</formula1>
    </dataValidation>
    <dataValidation allowBlank="1" showInputMessage="1" showErrorMessage="1" prompt="在此处填上额外生命值成长数值，如专长，种族，职业特性等带来的每级生命值" sqref="AX7:AZ7" xr:uid="{19470B61-43FF-4D5E-A33D-98438A5B8DC9}"/>
    <dataValidation allowBlank="1" showInputMessage="1" showErrorMessage="1" prompt="在此处填上如援助术等效果所提供的最大生命值" sqref="BB7:BD7" xr:uid="{E91DD3FE-3E37-4D8D-8CC0-89B23EAF4BB1}"/>
    <dataValidation allowBlank="1" showInputMessage="1" showErrorMessage="1" prompt="十枚铜币值一枚银币_x000a_一百枚铜币值一枚金币" sqref="AI62:AM62" xr:uid="{BF72B6F2-C627-45A6-9898-CAA91CA4EA35}"/>
    <dataValidation allowBlank="1" showInputMessage="1" showErrorMessage="1" prompt="十枚银币值一枚金币" sqref="AI61:AM61" xr:uid="{57183E9B-412C-4956-877B-551FF5A51EE9}"/>
    <dataValidation allowBlank="1" showInputMessage="1" showErrorMessage="1" prompt="一枚金银币价值五枚银币，即半枚金币" sqref="AI60:AM60" xr:uid="{EBE4C52D-D7D7-4CFC-B6A3-C349DB4FC509}"/>
    <dataValidation allowBlank="1" showInputMessage="1" showErrorMessage="1" prompt="金币是度量财富的标准单位_x000a_一枚钱币的重量大约有三分之一盎司，50枚钱币则大约有一磅沉。" sqref="AI59:AM59" xr:uid="{312223E4-CBAB-4199-901D-9799C96F41D9}"/>
    <dataValidation allowBlank="1" showInputMessage="1" showErrorMessage="1" prompt="一枚铂金币价值十枚金币" sqref="AP59:AT59" xr:uid="{B7308F1A-107C-438F-A2BD-7D13A81ECE2D}"/>
    <dataValidation type="list" allowBlank="1" showInputMessage="1" sqref="BW43:BY43" xr:uid="{ED9CF154-187A-44BB-A84B-28C107CD83F2}">
      <formula1>"天界,精类,邪魔"</formula1>
    </dataValidation>
    <dataValidation type="list" allowBlank="1" showInputMessage="1" sqref="AD26:AE28 O26:P28 AS26:AT28" xr:uid="{40E6680E-55AE-4A24-9F65-052A1E65EC4A}">
      <formula1>"长休,短休,皆有"</formula1>
    </dataValidation>
    <dataValidation type="list" allowBlank="1" showInputMessage="1" showErrorMessage="1" prompt="此选项不影响最下两栏武器的命中与伤害速查" sqref="AA30:AB30" xr:uid="{E6708AB7-AD59-48FE-BDF6-3E8D44950D68}">
      <formula1>"默认,力量,敏捷,体质,智力,感知,魅力"</formula1>
    </dataValidation>
    <dataValidation type="list" allowBlank="1" showInputMessage="1" sqref="R42:T51" xr:uid="{8CCD3132-9516-45DF-BD7E-4D5067B28ACB}">
      <formula1>"普通,非普通,珍稀,极珍稀,传说,神器"</formula1>
    </dataValidation>
    <dataValidation type="list" allowBlank="1" showInputMessage="1" sqref="P51" xr:uid="{B865546B-5799-4F4F-8D4B-10A93BDE8A66}">
      <formula1>"X,O"</formula1>
    </dataValidation>
  </dataValidations>
  <printOptions horizontalCentered="1"/>
  <pageMargins left="0" right="0" top="0" bottom="0" header="0" footer="0"/>
  <pageSetup paperSize="9" scale="95" fitToHeight="0" orientation="portrait"/>
  <rowBreaks count="1" manualBreakCount="1">
    <brk id="90" max="45" man="1"/>
  </rowBreaks>
  <legacyDrawing r:id="rId1"/>
  <extLst>
    <ext xmlns:x14="http://schemas.microsoft.com/office/spreadsheetml/2009/9/main" uri="{78C0D931-6437-407d-A8EE-F0AAD7539E65}">
      <x14:conditionalFormattings>
        <x14:conditionalFormatting xmlns:xm="http://schemas.microsoft.com/office/excel/2006/main">
          <x14:cfRule type="dataBar" id="{1E60C9E8-791E-4C8E-87D4-84A42FAC694C}">
            <x14:dataBar minLength="0" maxLength="100" direction="leftToRight">
              <x14:cfvo type="num">
                <xm:f>0</xm:f>
              </x14:cfvo>
              <x14:cfvo type="num">
                <xm:f>355000</xm:f>
              </x14:cfvo>
              <x14:negativeFillColor rgb="FFFF0000"/>
              <x14:axisColor rgb="FF000000"/>
            </x14:dataBar>
          </x14:cfRule>
          <xm:sqref>E9:J9</xm:sqref>
        </x14:conditionalFormatting>
        <x14:conditionalFormatting xmlns:xm="http://schemas.microsoft.com/office/excel/2006/main">
          <x14:cfRule type="expression" priority="131" id="{85FA5CAA-91DF-4083-B50C-59CBDF7FD55A}">
            <xm:f>数据表!$I$2=1</xm:f>
            <x14:dxf>
              <fill>
                <gradientFill>
                  <stop position="0">
                    <color theme="0"/>
                  </stop>
                  <stop position="1">
                    <color theme="4" tint="0.80001220740379042"/>
                  </stop>
                </gradientFill>
              </fill>
            </x14:dxf>
          </x14:cfRule>
          <xm:sqref>Q66:R66</xm:sqref>
        </x14:conditionalFormatting>
        <x14:conditionalFormatting xmlns:xm="http://schemas.microsoft.com/office/excel/2006/main">
          <x14:cfRule type="expression" priority="128" id="{9FF367BC-243D-4F2D-8165-420A227DEB4E}">
            <xm:f>数据表!$I$3=1</xm:f>
            <x14:dxf>
              <fill>
                <gradientFill>
                  <stop position="0">
                    <color theme="0"/>
                  </stop>
                  <stop position="1">
                    <color theme="4" tint="0.80001220740379042"/>
                  </stop>
                </gradientFill>
              </fill>
            </x14:dxf>
          </x14:cfRule>
          <xm:sqref>Q67:V67</xm:sqref>
        </x14:conditionalFormatting>
        <x14:conditionalFormatting xmlns:xm="http://schemas.microsoft.com/office/excel/2006/main">
          <x14:cfRule type="expression" priority="125" id="{CA28C800-17A1-44C2-B66F-C5F8F240AF47}">
            <xm:f>数据表!$I$4=1</xm:f>
            <x14:dxf>
              <fill>
                <gradientFill>
                  <stop position="0">
                    <color theme="0"/>
                  </stop>
                  <stop position="1">
                    <color theme="4" tint="0.80001220740379042"/>
                  </stop>
                </gradientFill>
              </fill>
            </x14:dxf>
          </x14:cfRule>
          <xm:sqref>Q68:V68</xm:sqref>
        </x14:conditionalFormatting>
        <x14:conditionalFormatting xmlns:xm="http://schemas.microsoft.com/office/excel/2006/main">
          <x14:cfRule type="expression" priority="124" id="{8A7BE78F-9222-4DB0-8E16-6AC071415DA1}">
            <xm:f>数据表!$I$5=1</xm:f>
            <x14:dxf>
              <fill>
                <gradientFill>
                  <stop position="0">
                    <color theme="0"/>
                  </stop>
                  <stop position="1">
                    <color theme="4" tint="0.80001220740379042"/>
                  </stop>
                </gradientFill>
              </fill>
            </x14:dxf>
          </x14:cfRule>
          <xm:sqref>Q69:V69</xm:sqref>
        </x14:conditionalFormatting>
        <x14:conditionalFormatting xmlns:xm="http://schemas.microsoft.com/office/excel/2006/main">
          <x14:cfRule type="expression" priority="123" id="{9AABAB0B-DDA9-4E4F-A5D3-7343918DB7FD}">
            <xm:f>数据表!$I$6=1</xm:f>
            <x14:dxf>
              <fill>
                <gradientFill>
                  <stop position="0">
                    <color theme="0"/>
                  </stop>
                  <stop position="1">
                    <color theme="4" tint="0.80001220740379042"/>
                  </stop>
                </gradientFill>
              </fill>
            </x14:dxf>
          </x14:cfRule>
          <xm:sqref>Q70:V70</xm:sqref>
        </x14:conditionalFormatting>
        <x14:conditionalFormatting xmlns:xm="http://schemas.microsoft.com/office/excel/2006/main">
          <x14:cfRule type="expression" priority="122" id="{3FE32F62-5AD4-461B-877A-6C9B1BE1AB91}">
            <xm:f>数据表!$I$7=1</xm:f>
            <x14:dxf>
              <fill>
                <gradientFill>
                  <stop position="0">
                    <color theme="0"/>
                  </stop>
                  <stop position="1">
                    <color theme="4" tint="0.80001220740379042"/>
                  </stop>
                </gradientFill>
              </fill>
            </x14:dxf>
          </x14:cfRule>
          <xm:sqref>Q71:V71</xm:sqref>
        </x14:conditionalFormatting>
        <x14:conditionalFormatting xmlns:xm="http://schemas.microsoft.com/office/excel/2006/main">
          <x14:cfRule type="expression" priority="121" id="{672993EC-4F57-438D-8104-DE5171A37639}">
            <xm:f>数据表!$I$8=1</xm:f>
            <x14:dxf>
              <fill>
                <gradientFill>
                  <stop position="0">
                    <color theme="0"/>
                  </stop>
                  <stop position="1">
                    <color theme="4" tint="0.80001220740379042"/>
                  </stop>
                </gradientFill>
              </fill>
            </x14:dxf>
          </x14:cfRule>
          <xm:sqref>Q72:V72</xm:sqref>
        </x14:conditionalFormatting>
        <x14:conditionalFormatting xmlns:xm="http://schemas.microsoft.com/office/excel/2006/main">
          <x14:cfRule type="expression" priority="106" id="{59659DDD-7A6B-4C10-904C-824F8B2FC5A2}">
            <xm:f>数据表!$I$21=1</xm:f>
            <x14:dxf>
              <fill>
                <gradientFill>
                  <stop position="0">
                    <color theme="0"/>
                  </stop>
                  <stop position="1">
                    <color theme="4" tint="0.80001220740379042"/>
                  </stop>
                </gradientFill>
              </fill>
            </x14:dxf>
          </x14:cfRule>
          <xm:sqref>Q73:V73</xm:sqref>
        </x14:conditionalFormatting>
        <x14:conditionalFormatting xmlns:xm="http://schemas.microsoft.com/office/excel/2006/main">
          <x14:cfRule type="expression" priority="120" id="{F76842F5-BF58-44C3-93AE-E04E85E526E8}">
            <xm:f>数据表!$I$9=1</xm:f>
            <x14:dxf>
              <fill>
                <gradientFill>
                  <stop position="0">
                    <color theme="0"/>
                  </stop>
                  <stop position="1">
                    <color theme="4" tint="0.80001220740379042"/>
                  </stop>
                </gradientFill>
              </fill>
            </x14:dxf>
          </x14:cfRule>
          <xm:sqref>Q77:V77</xm:sqref>
        </x14:conditionalFormatting>
        <x14:conditionalFormatting xmlns:xm="http://schemas.microsoft.com/office/excel/2006/main">
          <x14:cfRule type="expression" priority="119" id="{40CF739F-1D2D-4A0D-8629-DD072CB5928F}">
            <xm:f>数据表!$I$10=1</xm:f>
            <x14:dxf>
              <fill>
                <gradientFill>
                  <stop position="0">
                    <color theme="0"/>
                  </stop>
                  <stop position="1">
                    <color theme="4" tint="0.80001220740379042"/>
                  </stop>
                </gradientFill>
              </fill>
            </x14:dxf>
          </x14:cfRule>
          <xm:sqref>Q78:V78</xm:sqref>
        </x14:conditionalFormatting>
        <x14:conditionalFormatting xmlns:xm="http://schemas.microsoft.com/office/excel/2006/main">
          <x14:cfRule type="expression" priority="118" id="{DD226881-ADED-471E-8487-9A38F2ADB375}">
            <xm:f>数据表!$I$11=1</xm:f>
            <x14:dxf>
              <fill>
                <gradientFill>
                  <stop position="0">
                    <color theme="0"/>
                  </stop>
                  <stop position="1">
                    <color theme="4" tint="0.80001220740379042"/>
                  </stop>
                </gradientFill>
              </fill>
            </x14:dxf>
          </x14:cfRule>
          <xm:sqref>Q79:V79</xm:sqref>
        </x14:conditionalFormatting>
        <x14:conditionalFormatting xmlns:xm="http://schemas.microsoft.com/office/excel/2006/main">
          <x14:cfRule type="expression" priority="117" id="{3BDC6E72-F816-4AC9-8D2F-DCF0D369FCC6}">
            <xm:f>数据表!$I$12=1</xm:f>
            <x14:dxf>
              <fill>
                <gradientFill>
                  <stop position="0">
                    <color theme="0"/>
                  </stop>
                  <stop position="1">
                    <color theme="4" tint="0.80001220740379042"/>
                  </stop>
                </gradientFill>
              </fill>
            </x14:dxf>
          </x14:cfRule>
          <xm:sqref>Q80:V80</xm:sqref>
        </x14:conditionalFormatting>
        <x14:conditionalFormatting xmlns:xm="http://schemas.microsoft.com/office/excel/2006/main">
          <x14:cfRule type="expression" priority="249" id="{00000000-000E-0000-0100-000006000000}">
            <xm:f>数据表!#REF!=3</xm:f>
            <x14:dxf>
              <font>
                <color theme="1"/>
              </font>
              <fill>
                <patternFill patternType="solid">
                  <bgColor theme="0" tint="-0.499984740745262"/>
                </patternFill>
              </fill>
            </x14:dxf>
          </x14:cfRule>
          <xm:sqref>R22 U22:V22</xm:sqref>
        </x14:conditionalFormatting>
        <x14:conditionalFormatting xmlns:xm="http://schemas.microsoft.com/office/excel/2006/main">
          <x14:cfRule type="expression" priority="102" id="{88EAAEFB-98BE-4E0D-A72A-67E1806EE7A8}">
            <xm:f>数据表!$I$24=1</xm:f>
            <x14:dxf>
              <fill>
                <gradientFill>
                  <stop position="0">
                    <color theme="0"/>
                  </stop>
                  <stop position="1">
                    <color theme="4" tint="0.80001220740379042"/>
                  </stop>
                </gradientFill>
              </fill>
            </x14:dxf>
          </x14:cfRule>
          <xm:sqref>Y68</xm:sqref>
        </x14:conditionalFormatting>
        <x14:conditionalFormatting xmlns:xm="http://schemas.microsoft.com/office/excel/2006/main">
          <x14:cfRule type="expression" priority="104" id="{9D15E36B-4446-48F0-9965-30DBACB2711C}">
            <xm:f>数据表!$I$22=1</xm:f>
            <x14:dxf>
              <fill>
                <gradientFill>
                  <stop position="0">
                    <color theme="0"/>
                  </stop>
                  <stop position="1">
                    <color theme="4" tint="0.80001220740379042"/>
                  </stop>
                </gradientFill>
              </fill>
            </x14:dxf>
          </x14:cfRule>
          <xm:sqref>Y66:AD66</xm:sqref>
        </x14:conditionalFormatting>
        <x14:conditionalFormatting xmlns:xm="http://schemas.microsoft.com/office/excel/2006/main">
          <x14:cfRule type="expression" priority="103" id="{E15F71FB-0D32-4506-994A-B914E85ADF6B}">
            <xm:f>数据表!$I$23=1</xm:f>
            <x14:dxf>
              <fill>
                <gradientFill>
                  <stop position="0">
                    <color theme="0"/>
                  </stop>
                  <stop position="1">
                    <color theme="4" tint="0.80001220740379042"/>
                  </stop>
                </gradientFill>
              </fill>
            </x14:dxf>
          </x14:cfRule>
          <xm:sqref>Y67:AD67</xm:sqref>
        </x14:conditionalFormatting>
        <x14:conditionalFormatting xmlns:xm="http://schemas.microsoft.com/office/excel/2006/main">
          <x14:cfRule type="expression" priority="101" id="{1C2290C4-FC2B-4BB9-95FC-405D826FF49F}">
            <xm:f>数据表!$I$25=1</xm:f>
            <x14:dxf>
              <fill>
                <gradientFill>
                  <stop position="0">
                    <color theme="0"/>
                  </stop>
                  <stop position="1">
                    <color theme="4" tint="0.80001220740379042"/>
                  </stop>
                </gradientFill>
              </fill>
            </x14:dxf>
          </x14:cfRule>
          <xm:sqref>Y69:AD69</xm:sqref>
        </x14:conditionalFormatting>
        <x14:conditionalFormatting xmlns:xm="http://schemas.microsoft.com/office/excel/2006/main">
          <x14:cfRule type="expression" priority="100" id="{59C3F627-8441-498E-8D1D-A25C19074107}">
            <xm:f>数据表!$I$26=1</xm:f>
            <x14:dxf>
              <fill>
                <gradientFill>
                  <stop position="0">
                    <color theme="0"/>
                  </stop>
                  <stop position="1">
                    <color theme="4" tint="0.80001220740379042"/>
                  </stop>
                </gradientFill>
              </fill>
            </x14:dxf>
          </x14:cfRule>
          <xm:sqref>Y70:AD70</xm:sqref>
        </x14:conditionalFormatting>
        <x14:conditionalFormatting xmlns:xm="http://schemas.microsoft.com/office/excel/2006/main">
          <x14:cfRule type="expression" priority="99" id="{0767EB36-DD21-4CBF-954A-43042FDAAE3C}">
            <xm:f>数据表!$I$27=1</xm:f>
            <x14:dxf>
              <fill>
                <gradientFill>
                  <stop position="0">
                    <color theme="0"/>
                  </stop>
                  <stop position="1">
                    <color theme="4" tint="0.80001220740379042"/>
                  </stop>
                </gradientFill>
              </fill>
            </x14:dxf>
          </x14:cfRule>
          <xm:sqref>Y71:AD71</xm:sqref>
        </x14:conditionalFormatting>
        <x14:conditionalFormatting xmlns:xm="http://schemas.microsoft.com/office/excel/2006/main">
          <x14:cfRule type="expression" priority="98" id="{DD888997-ECD7-4E91-8377-9C6A4F73CDB5}">
            <xm:f>数据表!$I$28=1</xm:f>
            <x14:dxf>
              <fill>
                <gradientFill>
                  <stop position="0">
                    <color theme="0"/>
                  </stop>
                  <stop position="1">
                    <color theme="4" tint="0.80001220740379042"/>
                  </stop>
                </gradientFill>
              </fill>
            </x14:dxf>
          </x14:cfRule>
          <xm:sqref>Y72:AD72</xm:sqref>
        </x14:conditionalFormatting>
        <x14:conditionalFormatting xmlns:xm="http://schemas.microsoft.com/office/excel/2006/main">
          <x14:cfRule type="expression" priority="97" id="{888989F7-61DB-4E7F-B413-EA204F9C9E72}">
            <xm:f>数据表!$I$29=1</xm:f>
            <x14:dxf>
              <fill>
                <gradientFill>
                  <stop position="0">
                    <color theme="0"/>
                  </stop>
                  <stop position="1">
                    <color theme="4" tint="0.80001220740379042"/>
                  </stop>
                </gradientFill>
              </fill>
            </x14:dxf>
          </x14:cfRule>
          <xm:sqref>Y73:AD73</xm:sqref>
        </x14:conditionalFormatting>
        <x14:conditionalFormatting xmlns:xm="http://schemas.microsoft.com/office/excel/2006/main">
          <x14:cfRule type="expression" priority="116" id="{1732A1CC-DA3B-49C4-B162-20D1D1629D00}">
            <xm:f>数据表!$I$13=1</xm:f>
            <x14:dxf>
              <fill>
                <gradientFill>
                  <stop position="0">
                    <color theme="0"/>
                  </stop>
                  <stop position="1">
                    <color theme="4" tint="0.80001220740379042"/>
                  </stop>
                </gradientFill>
              </fill>
            </x14:dxf>
          </x14:cfRule>
          <xm:sqref>Y77:AD77</xm:sqref>
        </x14:conditionalFormatting>
        <x14:conditionalFormatting xmlns:xm="http://schemas.microsoft.com/office/excel/2006/main">
          <x14:cfRule type="expression" priority="115" id="{75ED7AC7-0914-4221-8055-EFD725D78EC5}">
            <xm:f>数据表!$I$14=1</xm:f>
            <x14:dxf>
              <fill>
                <gradientFill>
                  <stop position="0">
                    <color theme="0"/>
                  </stop>
                  <stop position="1">
                    <color theme="4" tint="0.80001220740379042"/>
                  </stop>
                </gradientFill>
              </fill>
            </x14:dxf>
          </x14:cfRule>
          <xm:sqref>Y78:AD78</xm:sqref>
        </x14:conditionalFormatting>
        <x14:conditionalFormatting xmlns:xm="http://schemas.microsoft.com/office/excel/2006/main">
          <x14:cfRule type="expression" priority="114" id="{FB2186C0-3ABE-4FF5-8315-4E2EF9768250}">
            <xm:f>数据表!$I$15=1</xm:f>
            <x14:dxf>
              <fill>
                <gradientFill>
                  <stop position="0">
                    <color theme="0"/>
                  </stop>
                  <stop position="1">
                    <color theme="4" tint="0.80001220740379042"/>
                  </stop>
                </gradientFill>
              </fill>
            </x14:dxf>
          </x14:cfRule>
          <xm:sqref>Y79:AD79</xm:sqref>
        </x14:conditionalFormatting>
        <x14:conditionalFormatting xmlns:xm="http://schemas.microsoft.com/office/excel/2006/main">
          <x14:cfRule type="expression" priority="113" id="{FDDE317E-3C9A-4022-80C2-555BF43FC115}">
            <xm:f>数据表!$I$16=1</xm:f>
            <x14:dxf>
              <fill>
                <gradientFill>
                  <stop position="0">
                    <color theme="0"/>
                  </stop>
                  <stop position="1">
                    <color theme="4" tint="0.80001220740379042"/>
                  </stop>
                </gradientFill>
              </fill>
            </x14:dxf>
          </x14:cfRule>
          <xm:sqref>Y80:AD80</xm:sqref>
        </x14:conditionalFormatting>
        <x14:conditionalFormatting xmlns:xm="http://schemas.microsoft.com/office/excel/2006/main">
          <x14:cfRule type="expression" priority="89" id="{E5A5F9C5-9F8B-41D1-B748-72F1770943F2}">
            <xm:f>数据表!$I$30=1</xm:f>
            <x14:dxf>
              <fill>
                <gradientFill>
                  <stop position="0">
                    <color theme="0"/>
                  </stop>
                  <stop position="1">
                    <color theme="4" tint="0.80001220740379042"/>
                  </stop>
                </gradientFill>
              </fill>
            </x14:dxf>
          </x14:cfRule>
          <xm:sqref>AG66:AL66</xm:sqref>
        </x14:conditionalFormatting>
        <x14:conditionalFormatting xmlns:xm="http://schemas.microsoft.com/office/excel/2006/main">
          <x14:cfRule type="expression" priority="88" id="{A034EC28-FCEA-4A81-9A17-CA0CD5FAD0CF}">
            <xm:f>数据表!$I$31=1</xm:f>
            <x14:dxf>
              <fill>
                <gradientFill>
                  <stop position="0">
                    <color theme="0"/>
                  </stop>
                  <stop position="1">
                    <color theme="4" tint="0.80001220740379042"/>
                  </stop>
                </gradientFill>
              </fill>
            </x14:dxf>
          </x14:cfRule>
          <xm:sqref>AG67:AL67</xm:sqref>
        </x14:conditionalFormatting>
        <x14:conditionalFormatting xmlns:xm="http://schemas.microsoft.com/office/excel/2006/main">
          <x14:cfRule type="expression" priority="87" id="{531BF45B-4054-49B5-B351-23C724FF4425}">
            <xm:f>数据表!$I$32=1</xm:f>
            <x14:dxf>
              <fill>
                <gradientFill>
                  <stop position="0">
                    <color theme="0"/>
                  </stop>
                  <stop position="1">
                    <color theme="4" tint="0.80001220740379042"/>
                  </stop>
                </gradientFill>
              </fill>
            </x14:dxf>
          </x14:cfRule>
          <xm:sqref>AG68:AL68</xm:sqref>
        </x14:conditionalFormatting>
        <x14:conditionalFormatting xmlns:xm="http://schemas.microsoft.com/office/excel/2006/main">
          <x14:cfRule type="expression" priority="86" id="{8B6629C8-288C-47A0-A169-72D947969267}">
            <xm:f>数据表!$I$33=1</xm:f>
            <x14:dxf>
              <fill>
                <gradientFill>
                  <stop position="0">
                    <color theme="0"/>
                  </stop>
                  <stop position="1">
                    <color theme="4" tint="0.80001220740379042"/>
                  </stop>
                </gradientFill>
              </fill>
            </x14:dxf>
          </x14:cfRule>
          <xm:sqref>AG69:AL69</xm:sqref>
        </x14:conditionalFormatting>
        <x14:conditionalFormatting xmlns:xm="http://schemas.microsoft.com/office/excel/2006/main">
          <x14:cfRule type="expression" priority="85" id="{78D0FE7C-ACC9-440B-855E-30EDA648C2FF}">
            <xm:f>数据表!$I$34=1</xm:f>
            <x14:dxf>
              <fill>
                <gradientFill>
                  <stop position="0">
                    <color theme="0"/>
                  </stop>
                  <stop position="1">
                    <color theme="4" tint="0.80001220740379042"/>
                  </stop>
                </gradientFill>
              </fill>
            </x14:dxf>
          </x14:cfRule>
          <xm:sqref>AG70:AL70</xm:sqref>
        </x14:conditionalFormatting>
        <x14:conditionalFormatting xmlns:xm="http://schemas.microsoft.com/office/excel/2006/main">
          <x14:cfRule type="expression" priority="84" id="{5E1623B2-0C38-43A0-AB0D-6152268478AA}">
            <xm:f>数据表!$I$35=1</xm:f>
            <x14:dxf>
              <fill>
                <gradientFill>
                  <stop position="0">
                    <color theme="0"/>
                  </stop>
                  <stop position="1">
                    <color theme="4" tint="0.80001220740379042"/>
                  </stop>
                </gradientFill>
              </fill>
            </x14:dxf>
          </x14:cfRule>
          <xm:sqref>AG71:AL71</xm:sqref>
        </x14:conditionalFormatting>
        <x14:conditionalFormatting xmlns:xm="http://schemas.microsoft.com/office/excel/2006/main">
          <x14:cfRule type="expression" priority="83" id="{C9A52419-1A05-45FA-A7A0-D726BDCF299C}">
            <xm:f>数据表!$I$36=1</xm:f>
            <x14:dxf>
              <fill>
                <gradientFill>
                  <stop position="0">
                    <color theme="0"/>
                  </stop>
                  <stop position="1">
                    <color theme="4" tint="0.80001220740379042"/>
                  </stop>
                </gradientFill>
              </fill>
            </x14:dxf>
          </x14:cfRule>
          <xm:sqref>AG72:AL72</xm:sqref>
        </x14:conditionalFormatting>
        <x14:conditionalFormatting xmlns:xm="http://schemas.microsoft.com/office/excel/2006/main">
          <x14:cfRule type="expression" priority="82" id="{0E0A60D2-E52A-4D63-AAB6-A92C7EDD1F10}">
            <xm:f>数据表!$I$37=1</xm:f>
            <x14:dxf>
              <fill>
                <gradientFill>
                  <stop position="0">
                    <color theme="0"/>
                  </stop>
                  <stop position="1">
                    <color theme="4" tint="0.80001220740379042"/>
                  </stop>
                </gradientFill>
              </fill>
            </x14:dxf>
          </x14:cfRule>
          <xm:sqref>AG73:AL73</xm:sqref>
        </x14:conditionalFormatting>
        <x14:conditionalFormatting xmlns:xm="http://schemas.microsoft.com/office/excel/2006/main">
          <x14:cfRule type="expression" priority="81" id="{3D83CAC8-1A23-4A83-B894-C4D312853B62}">
            <xm:f>数据表!$I$38=1</xm:f>
            <x14:dxf>
              <fill>
                <gradientFill>
                  <stop position="0">
                    <color theme="0"/>
                  </stop>
                  <stop position="1">
                    <color theme="4" tint="0.80001220740379042"/>
                  </stop>
                </gradientFill>
              </fill>
            </x14:dxf>
          </x14:cfRule>
          <xm:sqref>AG74:AL74</xm:sqref>
        </x14:conditionalFormatting>
        <x14:conditionalFormatting xmlns:xm="http://schemas.microsoft.com/office/excel/2006/main">
          <x14:cfRule type="expression" priority="80" id="{19151A4F-6FBE-480B-9974-268E884EF711}">
            <xm:f>数据表!$I$39=1</xm:f>
            <x14:dxf>
              <fill>
                <gradientFill>
                  <stop position="0">
                    <color theme="0"/>
                  </stop>
                  <stop position="1">
                    <color theme="4" tint="0.80001220740379042"/>
                  </stop>
                </gradientFill>
              </fill>
            </x14:dxf>
          </x14:cfRule>
          <xm:sqref>AG75:AL75</xm:sqref>
        </x14:conditionalFormatting>
        <x14:conditionalFormatting xmlns:xm="http://schemas.microsoft.com/office/excel/2006/main">
          <x14:cfRule type="expression" priority="79" id="{451514EB-A614-440C-811B-135F6C70F814}">
            <xm:f>数据表!$I$40=1</xm:f>
            <x14:dxf>
              <fill>
                <gradientFill>
                  <stop position="0">
                    <color theme="0"/>
                  </stop>
                  <stop position="1">
                    <color theme="4" tint="0.80001220740379042"/>
                  </stop>
                </gradientFill>
              </fill>
            </x14:dxf>
          </x14:cfRule>
          <xm:sqref>AG76:AL76</xm:sqref>
        </x14:conditionalFormatting>
        <x14:conditionalFormatting xmlns:xm="http://schemas.microsoft.com/office/excel/2006/main">
          <x14:cfRule type="expression" priority="78" id="{12930FD0-4CFF-406B-9B03-BB486D25B1B8}">
            <xm:f>数据表!$I$41=1</xm:f>
            <x14:dxf>
              <fill>
                <gradientFill>
                  <stop position="0">
                    <color theme="0"/>
                  </stop>
                  <stop position="1">
                    <color theme="4" tint="0.80001220740379042"/>
                  </stop>
                </gradientFill>
              </fill>
            </x14:dxf>
          </x14:cfRule>
          <xm:sqref>AG77:AL77</xm:sqref>
        </x14:conditionalFormatting>
        <x14:conditionalFormatting xmlns:xm="http://schemas.microsoft.com/office/excel/2006/main">
          <x14:cfRule type="expression" priority="77" id="{6F988777-EA42-4C00-9AEE-EEE8814EF8D3}">
            <xm:f>数据表!$I$42=1</xm:f>
            <x14:dxf>
              <fill>
                <gradientFill>
                  <stop position="0">
                    <color theme="0"/>
                  </stop>
                  <stop position="1">
                    <color theme="4" tint="0.80001220740379042"/>
                  </stop>
                </gradientFill>
              </fill>
            </x14:dxf>
          </x14:cfRule>
          <xm:sqref>AG78:AL78</xm:sqref>
        </x14:conditionalFormatting>
        <x14:conditionalFormatting xmlns:xm="http://schemas.microsoft.com/office/excel/2006/main">
          <x14:cfRule type="expression" priority="76" id="{5BF637E4-3303-44E1-8F1F-D34AB26A4105}">
            <xm:f>数据表!$I$43=1</xm:f>
            <x14:dxf>
              <fill>
                <gradientFill>
                  <stop position="0">
                    <color theme="0"/>
                  </stop>
                  <stop position="1">
                    <color theme="4" tint="0.80001220740379042"/>
                  </stop>
                </gradientFill>
              </fill>
            </x14:dxf>
          </x14:cfRule>
          <xm:sqref>AG79:AL79</xm:sqref>
        </x14:conditionalFormatting>
        <x14:conditionalFormatting xmlns:xm="http://schemas.microsoft.com/office/excel/2006/main">
          <x14:cfRule type="expression" priority="75" id="{AB946713-C466-4B3E-A115-EBB09D5AC280}">
            <xm:f>数据表!$I$44=1</xm:f>
            <x14:dxf>
              <fill>
                <gradientFill>
                  <stop position="0">
                    <color theme="0"/>
                  </stop>
                  <stop position="1">
                    <color theme="4" tint="0.80001220740379042"/>
                  </stop>
                </gradientFill>
              </fill>
            </x14:dxf>
          </x14:cfRule>
          <xm:sqref>AG80:AL80</xm:sqref>
        </x14:conditionalFormatting>
        <x14:conditionalFormatting xmlns:xm="http://schemas.microsoft.com/office/excel/2006/main">
          <x14:cfRule type="expression" priority="74" id="{D6926C7A-F764-43FD-9099-E0745DE3804F}">
            <xm:f>数据表!$I$45=1</xm:f>
            <x14:dxf>
              <fill>
                <gradientFill>
                  <stop position="0">
                    <color theme="0"/>
                  </stop>
                  <stop position="1">
                    <color theme="4" tint="0.80001220740379042"/>
                  </stop>
                </gradientFill>
              </fill>
            </x14:dxf>
          </x14:cfRule>
          <xm:sqref>AO66:AT66</xm:sqref>
        </x14:conditionalFormatting>
        <x14:conditionalFormatting xmlns:xm="http://schemas.microsoft.com/office/excel/2006/main">
          <x14:cfRule type="expression" priority="73" id="{081E17B0-2EA9-42D8-B252-6CB44DFAB7AA}">
            <xm:f>数据表!$I$46=1</xm:f>
            <x14:dxf>
              <fill>
                <gradientFill>
                  <stop position="0">
                    <color theme="0"/>
                  </stop>
                  <stop position="1">
                    <color theme="4" tint="0.80001220740379042"/>
                  </stop>
                </gradientFill>
              </fill>
            </x14:dxf>
          </x14:cfRule>
          <xm:sqref>AO67:AT67</xm:sqref>
        </x14:conditionalFormatting>
        <x14:conditionalFormatting xmlns:xm="http://schemas.microsoft.com/office/excel/2006/main">
          <x14:cfRule type="expression" priority="72" id="{952E1E5B-CFCF-466F-96AD-17695B83898D}">
            <xm:f>数据表!$I$47=1</xm:f>
            <x14:dxf>
              <fill>
                <gradientFill>
                  <stop position="0">
                    <color theme="0"/>
                  </stop>
                  <stop position="1">
                    <color theme="4" tint="0.80001220740379042"/>
                  </stop>
                </gradientFill>
              </fill>
            </x14:dxf>
          </x14:cfRule>
          <xm:sqref>AO68:AT68</xm:sqref>
        </x14:conditionalFormatting>
        <x14:conditionalFormatting xmlns:xm="http://schemas.microsoft.com/office/excel/2006/main">
          <x14:cfRule type="expression" priority="71" id="{9273AECB-8140-4157-897A-18864D6E29FB}">
            <xm:f>数据表!$I$48=1</xm:f>
            <x14:dxf>
              <fill>
                <gradientFill>
                  <stop position="0">
                    <color theme="0"/>
                  </stop>
                  <stop position="1">
                    <color theme="4" tint="0.80001220740379042"/>
                  </stop>
                </gradientFill>
              </fill>
            </x14:dxf>
          </x14:cfRule>
          <xm:sqref>AO69:AT69</xm:sqref>
        </x14:conditionalFormatting>
        <x14:conditionalFormatting xmlns:xm="http://schemas.microsoft.com/office/excel/2006/main">
          <x14:cfRule type="expression" priority="70" id="{620D1DA6-C5CA-452E-A716-36A71D58FFBB}">
            <xm:f>数据表!$I$49=1</xm:f>
            <x14:dxf>
              <fill>
                <gradientFill>
                  <stop position="0">
                    <color theme="0"/>
                  </stop>
                  <stop position="1">
                    <color theme="4" tint="0.80001220740379042"/>
                  </stop>
                </gradientFill>
              </fill>
            </x14:dxf>
          </x14:cfRule>
          <xm:sqref>AO70:AT70</xm:sqref>
        </x14:conditionalFormatting>
        <x14:conditionalFormatting xmlns:xm="http://schemas.microsoft.com/office/excel/2006/main">
          <x14:cfRule type="expression" priority="69" id="{77AD126E-7183-47DB-BFFA-E7BE5C9CEC6E}">
            <xm:f>数据表!$I$50=1</xm:f>
            <x14:dxf>
              <fill>
                <gradientFill>
                  <stop position="0">
                    <color theme="0"/>
                  </stop>
                  <stop position="1">
                    <color theme="4" tint="0.80001220740379042"/>
                  </stop>
                </gradientFill>
              </fill>
            </x14:dxf>
          </x14:cfRule>
          <xm:sqref>AO71:AT71</xm:sqref>
        </x14:conditionalFormatting>
        <x14:conditionalFormatting xmlns:xm="http://schemas.microsoft.com/office/excel/2006/main">
          <x14:cfRule type="expression" priority="68" id="{C8C2F5DC-BFE6-4603-A584-079FBCDB1CC3}">
            <xm:f>数据表!$I$51=1</xm:f>
            <x14:dxf>
              <fill>
                <gradientFill>
                  <stop position="0">
                    <color theme="0"/>
                  </stop>
                  <stop position="1">
                    <color theme="4" tint="0.80001220740379042"/>
                  </stop>
                </gradientFill>
              </fill>
            </x14:dxf>
          </x14:cfRule>
          <xm:sqref>AO72:AT72</xm:sqref>
        </x14:conditionalFormatting>
        <x14:conditionalFormatting xmlns:xm="http://schemas.microsoft.com/office/excel/2006/main">
          <x14:cfRule type="expression" priority="67" id="{B078F094-B085-4AE2-983C-E95EDF04409A}">
            <xm:f>数据表!$I$52=1</xm:f>
            <x14:dxf>
              <fill>
                <gradientFill>
                  <stop position="0">
                    <color theme="0"/>
                  </stop>
                  <stop position="1">
                    <color theme="4" tint="0.80001220740379042"/>
                  </stop>
                </gradientFill>
              </fill>
            </x14:dxf>
          </x14:cfRule>
          <xm:sqref>AO73:AT73</xm:sqref>
        </x14:conditionalFormatting>
        <x14:conditionalFormatting xmlns:xm="http://schemas.microsoft.com/office/excel/2006/main">
          <x14:cfRule type="expression" priority="66" id="{BCC7372D-4A10-478B-8BA2-DC3478B7DC40}">
            <xm:f>数据表!$I$53=1</xm:f>
            <x14:dxf>
              <fill>
                <gradientFill>
                  <stop position="0">
                    <color theme="0"/>
                  </stop>
                  <stop position="1">
                    <color theme="4" tint="0.80001220740379042"/>
                  </stop>
                </gradientFill>
              </fill>
            </x14:dxf>
          </x14:cfRule>
          <xm:sqref>AO74:AT74</xm:sqref>
        </x14:conditionalFormatting>
        <x14:conditionalFormatting xmlns:xm="http://schemas.microsoft.com/office/excel/2006/main">
          <x14:cfRule type="expression" priority="65" id="{B8E58A4C-012C-4807-9033-6B06F18033D9}">
            <xm:f>数据表!$I$54=1</xm:f>
            <x14:dxf>
              <fill>
                <gradientFill>
                  <stop position="0">
                    <color theme="0"/>
                  </stop>
                  <stop position="1">
                    <color theme="4" tint="0.80001220740379042"/>
                  </stop>
                </gradientFill>
              </fill>
            </x14:dxf>
          </x14:cfRule>
          <xm:sqref>AO75:AT75</xm:sqref>
        </x14:conditionalFormatting>
        <x14:conditionalFormatting xmlns:xm="http://schemas.microsoft.com/office/excel/2006/main">
          <x14:cfRule type="expression" priority="64" id="{9C34EC0B-9CF5-45EB-89EB-7FCB056E16AE}">
            <xm:f>数据表!$I$55=1</xm:f>
            <x14:dxf>
              <fill>
                <gradientFill>
                  <stop position="0">
                    <color theme="0"/>
                  </stop>
                  <stop position="1">
                    <color theme="4" tint="0.80001220740379042"/>
                  </stop>
                </gradientFill>
              </fill>
            </x14:dxf>
          </x14:cfRule>
          <xm:sqref>AO76:AT76</xm:sqref>
        </x14:conditionalFormatting>
        <x14:conditionalFormatting xmlns:xm="http://schemas.microsoft.com/office/excel/2006/main">
          <x14:cfRule type="expression" priority="63" id="{03909CF9-F0C4-4A41-BAB4-32622D889F4B}">
            <xm:f>数据表!$I$56=1</xm:f>
            <x14:dxf>
              <fill>
                <gradientFill>
                  <stop position="0">
                    <color theme="0"/>
                  </stop>
                  <stop position="1">
                    <color theme="4" tint="0.80001220740379042"/>
                  </stop>
                </gradientFill>
              </fill>
            </x14:dxf>
          </x14:cfRule>
          <xm:sqref>AO77:AT77</xm:sqref>
        </x14:conditionalFormatting>
        <x14:conditionalFormatting xmlns:xm="http://schemas.microsoft.com/office/excel/2006/main">
          <x14:cfRule type="expression" priority="62" id="{48F73087-8D4F-426A-8CB2-F8DDD6CA859B}">
            <xm:f>数据表!$I$57=1</xm:f>
            <x14:dxf>
              <fill>
                <gradientFill>
                  <stop position="0">
                    <color theme="0"/>
                  </stop>
                  <stop position="1">
                    <color theme="4" tint="0.80001220740379042"/>
                  </stop>
                </gradientFill>
              </fill>
            </x14:dxf>
          </x14:cfRule>
          <xm:sqref>AO78:AT78</xm:sqref>
        </x14:conditionalFormatting>
        <x14:conditionalFormatting xmlns:xm="http://schemas.microsoft.com/office/excel/2006/main">
          <x14:cfRule type="expression" priority="61" id="{487B8641-42F0-4F0F-9272-2A7852C50010}">
            <xm:f>数据表!$I$58=1</xm:f>
            <x14:dxf>
              <fill>
                <gradientFill>
                  <stop position="0">
                    <color theme="0"/>
                  </stop>
                  <stop position="1">
                    <color theme="4" tint="0.80001220740379042"/>
                  </stop>
                </gradientFill>
              </fill>
            </x14:dxf>
          </x14:cfRule>
          <xm:sqref>AO79:AT79</xm:sqref>
        </x14:conditionalFormatting>
        <x14:conditionalFormatting xmlns:xm="http://schemas.microsoft.com/office/excel/2006/main">
          <x14:cfRule type="expression" priority="60" id="{B8D8A41A-67D3-46DE-B49B-2BA8E3AA75FF}">
            <xm:f>数据表!$I$59=1</xm:f>
            <x14:dxf>
              <fill>
                <gradientFill>
                  <stop position="0">
                    <color theme="0"/>
                  </stop>
                  <stop position="1">
                    <color theme="4" tint="0.80001220740379042"/>
                  </stop>
                </gradientFill>
              </fill>
            </x14:dxf>
          </x14:cfRule>
          <xm:sqref>AO80:AT80</xm:sqref>
        </x14:conditionalFormatting>
      </x14:conditionalFormattings>
    </ext>
    <ext xmlns:x14="http://schemas.microsoft.com/office/spreadsheetml/2009/9/main" uri="{CCE6A557-97BC-4b89-ADB6-D9C93CAAB3DF}">
      <x14:dataValidations xmlns:xm="http://schemas.microsoft.com/office/excel/2006/main" xWindow="381" yWindow="704" count="28">
        <x14:dataValidation type="list" allowBlank="1" showInputMessage="1" xr:uid="{BD3DFAB4-92FE-4A5C-ADC3-1448F52425C5}">
          <x14:formula1>
            <xm:f>OFFSET(职业!$B$3,,,SUMPRODUCT(N(LEN(职业!$B$3:$B$22)&gt;0)),)</xm:f>
          </x14:formula1>
          <xm:sqref>AW9:BB9 E6:H8</xm:sqref>
        </x14:dataValidation>
        <x14:dataValidation type="list" allowBlank="1" showInputMessage="1" xr:uid="{1ADD7779-9F5F-4BFB-9711-C0437571D0E4}">
          <x14:formula1>
            <xm:f>装备!$K$6:$K$18</xm:f>
          </x14:formula1>
          <xm:sqref>AF32:AG36 AS32:AT35 AS36:AT36 AL32:AM35 AL36:AM36</xm:sqref>
        </x14:dataValidation>
        <x14:dataValidation type="list" allowBlank="1" showInputMessage="1" xr:uid="{E11B7366-BB85-4D99-971D-71C3D527EEED}">
          <x14:formula1>
            <xm:f>数据表!$M$2:$M$12</xm:f>
          </x14:formula1>
          <xm:sqref>B70:E70</xm:sqref>
        </x14:dataValidation>
        <x14:dataValidation type="list" allowBlank="1" showInputMessage="1" xr:uid="{9CD70D10-9B2A-4211-BFB5-DABEDFF9656F}">
          <x14:formula1>
            <xm:f>OFFSET(种族!$AL$2,,,SUMPRODUCT(N(LEN(种族!$AL$2:$AL$17)&gt;0)),)</xm:f>
          </x14:formula1>
          <xm:sqref>BT3:BY15</xm:sqref>
        </x14:dataValidation>
        <x14:dataValidation type="list" allowBlank="1" showInputMessage="1" xr:uid="{8E89579A-402D-4096-BA7D-7204D188887A}">
          <x14:formula1>
            <xm:f>OFFSET(种族!$L$2,,,SUMPRODUCT(N(LEN(种族!$L$2:$L$51)&gt;0)),)</xm:f>
          </x14:formula1>
          <xm:sqref>T6:X6</xm:sqref>
        </x14:dataValidation>
        <x14:dataValidation type="list" allowBlank="1" showInputMessage="1" xr:uid="{76DA8515-46FA-406C-B0AB-D95F10926E5C}">
          <x14:formula1>
            <xm:f>OFFSET(种族!$AF$2,,,SUMPRODUCT(N(LEN(种族!$AF$2:$AF$15)&gt;0)),)</xm:f>
          </x14:formula1>
          <xm:sqref>T7:X7</xm:sqref>
        </x14:dataValidation>
        <x14:dataValidation type="list" allowBlank="1" showInputMessage="1" prompt="该表格整合收录了部分拓展职业，如果要使用拓展职业请先咨询下你家的DM哦~_x000a_" xr:uid="{8571FE7F-A95C-4DC3-8FF8-E4A8D2D71022}">
          <x14:formula1>
            <xm:f>OFFSET(职业!$AA$2,,,SUMPRODUCT(N(LEN(职业!$AA$2:$AA$17)&gt;0)),)</xm:f>
          </x14:formula1>
          <xm:sqref>BD9:BI9</xm:sqref>
        </x14:dataValidation>
        <x14:dataValidation type="list" allowBlank="1" showInputMessage="1" xr:uid="{CFEBB22E-C3FF-4BC1-A9E8-85DFA475798A}">
          <x14:formula1>
            <xm:f>OFFSET(职业!$U$2,,,SUMPRODUCT(N(LEN(职业!$U$2:$U$17)&gt;0)),)</xm:f>
          </x14:formula1>
          <xm:sqref>I6:N6</xm:sqref>
        </x14:dataValidation>
        <x14:dataValidation type="list" allowBlank="1" showInputMessage="1" xr:uid="{2E41DE6B-1141-4092-9617-9B221CCB2B58}">
          <x14:formula1>
            <xm:f>OFFSET(职业!$W$2,,,SUMPRODUCT(N(LEN(职业!$W$2:$W$17)&gt;0)),)</xm:f>
          </x14:formula1>
          <xm:sqref>I7:N7</xm:sqref>
        </x14:dataValidation>
        <x14:dataValidation type="list" allowBlank="1" showInputMessage="1" xr:uid="{1D9CDE4E-A6F1-47B1-AF34-61BF2E6729C8}">
          <x14:formula1>
            <xm:f>OFFSET(职业!$Y$2,,,SUMPRODUCT(N(LEN(职业!$Y$2:$Y$17)&gt;0)),)</xm:f>
          </x14:formula1>
          <xm:sqref>I8:N8</xm:sqref>
        </x14:dataValidation>
        <x14:dataValidation type="list" allowBlank="1" showInputMessage="1" xr:uid="{7F15D7FF-772F-47F2-9473-46613525A460}">
          <x14:formula1>
            <xm:f>装备!$N$3:$N$50</xm:f>
          </x14:formula1>
          <xm:sqref>B32:E36</xm:sqref>
        </x14:dataValidation>
        <x14:dataValidation type="list" allowBlank="1" showInputMessage="1" xr:uid="{B1030DC2-BE6D-47D7-BCC7-15FA384D1421}">
          <x14:formula1>
            <xm:f>装备!$U$22:$U$40</xm:f>
          </x14:formula1>
          <xm:sqref>L40:O40</xm:sqref>
        </x14:dataValidation>
        <x14:dataValidation type="list" allowBlank="1" showInputMessage="1" xr:uid="{BBD34406-B5F2-49B0-A952-CF68997FA0DD}">
          <x14:formula1>
            <xm:f>数据表!$F$2:$F$201</xm:f>
          </x14:formula1>
          <xm:sqref>Q66:V73 Y66:AD73 Q77:V81 Y77:AD81 AG66:AL81 AO66:AT81</xm:sqref>
        </x14:dataValidation>
        <x14:dataValidation type="list" allowBlank="1" showInputMessage="1" xr:uid="{84D7C1F6-5CC1-45C8-A2EA-DDECC0E0D2C8}">
          <x14:formula1>
            <xm:f>装备!$AB$21</xm:f>
          </x14:formula1>
          <xm:sqref>V40:Z40</xm:sqref>
        </x14:dataValidation>
        <x14:dataValidation type="list" allowBlank="1" showInputMessage="1" xr:uid="{AAF94B9D-11C2-44C8-8FCF-1695ECE744C7}">
          <x14:formula1>
            <xm:f>职业!$A$222:$A$317</xm:f>
          </x14:formula1>
          <xm:sqref>BU19:BY29</xm:sqref>
        </x14:dataValidation>
        <x14:dataValidation type="list" allowBlank="1" showInputMessage="1" xr:uid="{3B13B936-524A-4731-B81E-FDEBE0C11B55}">
          <x14:formula1>
            <xm:f>装备!$V$5</xm:f>
          </x14:formula1>
          <xm:sqref>M35:R35</xm:sqref>
        </x14:dataValidation>
        <x14:dataValidation type="list" allowBlank="1" showInputMessage="1" xr:uid="{9DAD41B1-FB04-43BD-BF91-F6CC8944EC24}">
          <x14:formula1>
            <xm:f>装备!$V$6</xm:f>
          </x14:formula1>
          <xm:sqref>M36:R36</xm:sqref>
        </x14:dataValidation>
        <x14:dataValidation type="list" allowBlank="1" showInputMessage="1" xr:uid="{822B6234-A2DF-4FB0-A543-60AE4A55AC55}">
          <x14:formula1>
            <xm:f>装备!$V$2</xm:f>
          </x14:formula1>
          <xm:sqref>M32:R32</xm:sqref>
        </x14:dataValidation>
        <x14:dataValidation type="list" allowBlank="1" showInputMessage="1" xr:uid="{BD447B81-62CB-4514-A029-0FD9807440E1}">
          <x14:formula1>
            <xm:f>装备!$V$3</xm:f>
          </x14:formula1>
          <xm:sqref>M33:R33</xm:sqref>
        </x14:dataValidation>
        <x14:dataValidation type="list" allowBlank="1" showInputMessage="1" xr:uid="{2A93C916-0F83-4124-A8E7-101AC0EA2D06}">
          <x14:formula1>
            <xm:f>装备!$V$4</xm:f>
          </x14:formula1>
          <xm:sqref>M34:R34</xm:sqref>
        </x14:dataValidation>
        <x14:dataValidation type="list" allowBlank="1" showInputMessage="1" xr:uid="{B0CEADF4-F7AF-47E8-9FD5-D215D239E62B}">
          <x14:formula1>
            <xm:f>OFFSET(数据表!$K$1:$K$59,,,SUMPRODUCT(N(LEN(数据表!$K$1:$K$59)&gt;0)))</xm:f>
          </x14:formula1>
          <xm:sqref>B85:G85</xm:sqref>
        </x14:dataValidation>
        <x14:dataValidation type="list" allowBlank="1" showInputMessage="1" xr:uid="{9EC38DE0-1418-42F8-9279-7C92ABBB2E77}">
          <x14:formula1>
            <xm:f>魔宠!$A$3:$A$21</xm:f>
          </x14:formula1>
          <xm:sqref>BX41:CB41</xm:sqref>
        </x14:dataValidation>
        <x14:dataValidation type="list" allowBlank="1" showInputMessage="1" xr:uid="{E1D97AB9-6E7E-4E52-B68A-64A0E266DD05}">
          <x14:formula1>
            <xm:f>OFFSET(职业!$BT$2,,,SUMPRODUCT(N(LEN(职业!$BT$2:$BT$101)&gt;0)))</xm:f>
          </x14:formula1>
          <xm:sqref>AX11:BB77</xm:sqref>
        </x14:dataValidation>
        <x14:dataValidation type="list" allowBlank="1" showInputMessage="1" xr:uid="{8BC0A994-29D0-48C7-B42B-CC932DD015C6}">
          <x14:formula1>
            <xm:f>装备!$A$27:$A$31</xm:f>
          </x14:formula1>
          <xm:sqref>AK30:AO30</xm:sqref>
        </x14:dataValidation>
        <x14:dataValidation type="list" allowBlank="1" showInputMessage="1" showErrorMessage="1" xr:uid="{EED2EB11-D4B1-46CE-9202-14283F6F75ED}">
          <x14:formula1>
            <xm:f>数据表!$CI$15:$CI$20</xm:f>
          </x14:formula1>
          <xm:sqref>AR23:AT23</xm:sqref>
        </x14:dataValidation>
        <x14:dataValidation type="list" allowBlank="1" showInputMessage="1" xr:uid="{0287ABA8-71CC-4FD3-B064-41B61BBC568D}">
          <x14:formula1>
            <xm:f>职业!$E221</xm:f>
          </x14:formula1>
          <xm:sqref>BZ19:CO29</xm:sqref>
        </x14:dataValidation>
        <x14:dataValidation type="list" allowBlank="1" showInputMessage="1" xr:uid="{CB8DC9F0-136A-49A0-BA52-649DC61A05A2}">
          <x14:formula1>
            <xm:f>职业!$BV2</xm:f>
          </x14:formula1>
          <xm:sqref>BC11:BR77</xm:sqref>
        </x14:dataValidation>
        <x14:dataValidation type="list" allowBlank="1" showInputMessage="1" xr:uid="{3FAC24F3-0E5E-408A-9D20-F47C795021A6}">
          <x14:formula1>
            <xm:f>种族!AN2</xm:f>
          </x14:formula1>
          <xm:sqref>BZ3:CO15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T363"/>
  <sheetViews>
    <sheetView topLeftCell="P13" zoomScale="70" zoomScaleNormal="70" workbookViewId="0">
      <selection activeCell="BG41" sqref="BG41"/>
    </sheetView>
  </sheetViews>
  <sheetFormatPr defaultColWidth="9" defaultRowHeight="16.5" customHeight="1"/>
  <cols>
    <col min="1" max="1" width="3.77734375" style="17" customWidth="1"/>
    <col min="2" max="2" width="9.77734375" style="17" customWidth="1"/>
    <col min="3" max="5" width="3.77734375" style="17" customWidth="1"/>
    <col min="6" max="6" width="9.77734375" style="17" customWidth="1"/>
    <col min="7" max="7" width="4.77734375" style="17" customWidth="1"/>
    <col min="8" max="8" width="9" style="17"/>
    <col min="9" max="10" width="3.77734375" style="17" customWidth="1"/>
    <col min="11" max="12" width="9" style="17" customWidth="1"/>
    <col min="13" max="13" width="9" style="357"/>
    <col min="14" max="14" width="5.33203125" style="357" customWidth="1"/>
    <col min="15" max="15" width="10.109375" style="357" bestFit="1" customWidth="1"/>
    <col min="16" max="35" width="5.33203125" style="357" customWidth="1"/>
    <col min="36" max="81" width="2.33203125" style="357" customWidth="1"/>
    <col min="82" max="87" width="9" style="17"/>
    <col min="88" max="88" width="9" style="17" customWidth="1"/>
    <col min="89" max="16384" width="9" style="17"/>
  </cols>
  <sheetData>
    <row r="1" spans="1:98" ht="16.5" customHeight="1">
      <c r="A1" s="19"/>
      <c r="B1" s="19" t="s">
        <v>4532</v>
      </c>
      <c r="C1" s="19" t="s">
        <v>4529</v>
      </c>
      <c r="D1" s="19" t="s">
        <v>4530</v>
      </c>
      <c r="E1" s="769" t="s">
        <v>354</v>
      </c>
      <c r="F1" s="769"/>
      <c r="G1" s="769"/>
      <c r="H1" s="19"/>
      <c r="I1" s="19" t="s">
        <v>5836</v>
      </c>
      <c r="J1" s="19" t="s">
        <v>5835</v>
      </c>
      <c r="K1" s="242" t="str" cm="1">
        <f t="array" ref="K1">IFERROR(INDEX($H$1:$H$59,SMALL(IF($H$2:$H$59&lt;&gt;"",ROW($H$2:$H$59),4^8),ROW(1:1)))&amp;"","")</f>
        <v/>
      </c>
      <c r="L1" s="19"/>
      <c r="M1" s="353"/>
      <c r="N1" s="354">
        <v>1</v>
      </c>
      <c r="O1" s="354">
        <v>2</v>
      </c>
      <c r="P1" s="354">
        <v>3</v>
      </c>
      <c r="Q1" s="354">
        <v>4</v>
      </c>
      <c r="R1" s="354">
        <v>5</v>
      </c>
      <c r="S1" s="354">
        <v>6</v>
      </c>
      <c r="T1" s="354">
        <v>7</v>
      </c>
      <c r="U1" s="354">
        <v>8</v>
      </c>
      <c r="V1" s="354">
        <v>9</v>
      </c>
      <c r="W1" s="354">
        <v>10</v>
      </c>
      <c r="X1" s="354">
        <v>11</v>
      </c>
      <c r="Y1" s="354">
        <v>12</v>
      </c>
      <c r="Z1" s="354">
        <v>13</v>
      </c>
      <c r="AA1" s="354">
        <v>14</v>
      </c>
      <c r="AB1" s="354">
        <v>15</v>
      </c>
      <c r="AC1" s="354">
        <v>16</v>
      </c>
      <c r="AD1" s="354">
        <v>17</v>
      </c>
      <c r="AE1" s="354">
        <v>18</v>
      </c>
      <c r="AF1" s="354">
        <v>19</v>
      </c>
      <c r="AG1" s="354">
        <v>20</v>
      </c>
      <c r="AH1" s="362" t="s">
        <v>6582</v>
      </c>
      <c r="CF1" s="19"/>
      <c r="CH1" s="18" t="s">
        <v>135</v>
      </c>
      <c r="CI1" s="18">
        <v>0</v>
      </c>
      <c r="CL1" s="17" t="s">
        <v>3573</v>
      </c>
      <c r="CM1" s="17" t="s">
        <v>3571</v>
      </c>
      <c r="CN1" s="51" t="s">
        <v>392</v>
      </c>
      <c r="CO1" s="52" t="s">
        <v>81</v>
      </c>
      <c r="CP1" s="51" t="s">
        <v>202</v>
      </c>
      <c r="CQ1" s="51">
        <v>2</v>
      </c>
      <c r="CR1" s="17" t="s">
        <v>3572</v>
      </c>
      <c r="CT1" s="383" t="s">
        <v>129</v>
      </c>
    </row>
    <row r="2" spans="1:98" ht="16.5" customHeight="1">
      <c r="A2" s="19">
        <v>1</v>
      </c>
      <c r="B2" s="19" t="str">
        <f>IF(法术书!X3="","",法术书!X3)</f>
        <v/>
      </c>
      <c r="C2" s="19" t="str">
        <f>IFERROR(VLOOKUP(B2,法术大全!$A:$W,5,FALSE),"")</f>
        <v/>
      </c>
      <c r="D2" s="284" t="str">
        <f>IFERROR(VLOOKUP(B2,法术大全!$A:$W,4,FALSE),"")</f>
        <v/>
      </c>
      <c r="E2" s="19">
        <v>1</v>
      </c>
      <c r="F2" s="285" t="str">
        <f t="shared" ref="F2:F51" si="0">B2</f>
        <v/>
      </c>
      <c r="G2" s="242"/>
      <c r="H2" s="243" t="str">
        <f>IF(主要!Q66&lt;&gt;"",主要!Q66,"")</f>
        <v/>
      </c>
      <c r="I2" s="19">
        <f>IF(VLOOKUP(H2,法术大全!$A$3:$E$574,4,0)="√",1,0)</f>
        <v>0</v>
      </c>
      <c r="J2" s="19">
        <f>IF(VLOOKUP(H2,法术大全!$A$3:$E$574,5,0)="√",1,0)</f>
        <v>0</v>
      </c>
      <c r="K2" s="242" t="str" cm="1">
        <f t="array" ref="K2">IFERROR(INDEX($H$1:$H$59,SMALL(IF($H$2:$H$59&lt;&gt;"",ROW($H$2:$H$59),4^8),ROW(2:2)))&amp;"","")</f>
        <v/>
      </c>
      <c r="L2" s="19"/>
      <c r="M2" s="355" t="s">
        <v>175</v>
      </c>
      <c r="N2" s="356">
        <v>4</v>
      </c>
      <c r="O2" s="356">
        <v>5</v>
      </c>
      <c r="P2" s="356">
        <v>6</v>
      </c>
      <c r="Q2" s="356">
        <v>7</v>
      </c>
      <c r="R2" s="356">
        <v>8</v>
      </c>
      <c r="S2" s="356">
        <v>9</v>
      </c>
      <c r="T2" s="356">
        <v>10</v>
      </c>
      <c r="U2" s="356">
        <v>11</v>
      </c>
      <c r="V2" s="356">
        <v>12</v>
      </c>
      <c r="W2" s="356">
        <v>14</v>
      </c>
      <c r="X2" s="356">
        <v>15</v>
      </c>
      <c r="Y2" s="356">
        <v>15</v>
      </c>
      <c r="Z2" s="356">
        <v>16</v>
      </c>
      <c r="AA2" s="356">
        <v>18</v>
      </c>
      <c r="AB2" s="356">
        <v>19</v>
      </c>
      <c r="AC2" s="356">
        <v>19</v>
      </c>
      <c r="AD2" s="356">
        <v>20</v>
      </c>
      <c r="AE2" s="356">
        <v>22</v>
      </c>
      <c r="AF2" s="356">
        <v>22</v>
      </c>
      <c r="AG2" s="356">
        <v>22</v>
      </c>
      <c r="AH2" s="456">
        <f>职业!AI3</f>
        <v>0</v>
      </c>
      <c r="AI2" s="356"/>
      <c r="AJ2" s="771" t="s">
        <v>134</v>
      </c>
      <c r="AK2" s="771"/>
      <c r="AL2" s="771"/>
      <c r="AM2" s="771"/>
      <c r="AN2" s="771"/>
      <c r="AO2" s="771"/>
      <c r="AP2" s="771"/>
      <c r="AQ2" s="771"/>
      <c r="AR2" s="771"/>
      <c r="AS2" s="771"/>
      <c r="AT2" s="771"/>
      <c r="AU2" s="771"/>
      <c r="AV2" s="771"/>
      <c r="AW2" s="771"/>
      <c r="AX2" s="771"/>
      <c r="AY2" s="771"/>
      <c r="AZ2" s="771"/>
      <c r="BA2" s="771"/>
      <c r="BB2" s="771"/>
      <c r="BC2" s="771"/>
      <c r="BD2" s="771"/>
      <c r="BE2" s="771"/>
      <c r="BN2" s="548" t="s">
        <v>134</v>
      </c>
      <c r="BO2" s="534"/>
      <c r="BP2" s="534"/>
      <c r="BQ2" s="534"/>
      <c r="BR2" s="534"/>
      <c r="BS2" s="534"/>
      <c r="BT2" s="534"/>
      <c r="BU2" s="534"/>
      <c r="BV2" s="534"/>
      <c r="BW2" s="534"/>
      <c r="BX2" s="534"/>
      <c r="BY2" s="534"/>
      <c r="BZ2" s="534"/>
      <c r="CA2" s="534"/>
      <c r="CB2" s="535"/>
      <c r="CE2" s="19"/>
      <c r="CF2" s="19"/>
      <c r="CH2" s="18" t="s">
        <v>137</v>
      </c>
      <c r="CI2" s="18">
        <v>1</v>
      </c>
      <c r="CL2" s="17">
        <f>IF(ISBLANK(背包!B5),,INDEX(CO1:CQ149,MATCH(背包!B5&amp;"*",CN1:CN149,0),1))</f>
        <v>0</v>
      </c>
      <c r="CM2" s="20">
        <f>IF(ISBLANK(背包!B5),,INDEX(CN1:CQ149,MATCH(背包!B5&amp;"*",CN1:CN149,0),1))</f>
        <v>0</v>
      </c>
      <c r="CN2" s="51" t="s">
        <v>3434</v>
      </c>
      <c r="CO2" s="52" t="s">
        <v>3435</v>
      </c>
      <c r="CP2" s="51" t="s">
        <v>253</v>
      </c>
      <c r="CQ2" s="51">
        <v>1</v>
      </c>
      <c r="CR2" s="17">
        <f>VLOOKUP(CM2,CN1:CQ147,4,0)</f>
        <v>0</v>
      </c>
      <c r="CT2" s="337" t="s">
        <v>6052</v>
      </c>
    </row>
    <row r="3" spans="1:98" ht="16.5" customHeight="1">
      <c r="A3" s="19">
        <v>2</v>
      </c>
      <c r="B3" s="19" t="str">
        <f>IF(法术书!X4="","",法术书!X4)</f>
        <v/>
      </c>
      <c r="C3" s="19" t="str">
        <f>IFERROR(VLOOKUP(B3,法术大全!$A:$W,5,FALSE),"")</f>
        <v/>
      </c>
      <c r="D3" s="284" t="str">
        <f>IFERROR(VLOOKUP(B3,法术大全!$A:$W,4,FALSE),"")</f>
        <v/>
      </c>
      <c r="E3" s="19">
        <v>2</v>
      </c>
      <c r="F3" s="285" t="str">
        <f t="shared" si="0"/>
        <v/>
      </c>
      <c r="G3" s="242"/>
      <c r="H3" s="243" t="str">
        <f>IF(主要!Q67&lt;&gt;"",主要!Q67,"")</f>
        <v/>
      </c>
      <c r="I3" s="19">
        <f>IF(VLOOKUP(H3,法术大全!$A$3:$E$574,4,0)="√",1,0)</f>
        <v>0</v>
      </c>
      <c r="J3" s="19">
        <f>IF(VLOOKUP(H3,法术大全!$A$3:$E$574,5,0)="√",1,0)</f>
        <v>0</v>
      </c>
      <c r="K3" s="242" t="str" cm="1">
        <f t="array" ref="K3">IFERROR(INDEX($H$1:$H$59,SMALL(IF($H$2:$H$59&lt;&gt;"",ROW($H$2:$H$59),4^8),ROW(3:3)))&amp;"","")</f>
        <v/>
      </c>
      <c r="L3" s="19"/>
      <c r="M3" s="355" t="s">
        <v>197</v>
      </c>
      <c r="N3" s="356">
        <f>职业!$AI$4+主要!$R$17</f>
        <v>0</v>
      </c>
      <c r="O3" s="356">
        <f>职业!$AI$4+主要!$R$17</f>
        <v>0</v>
      </c>
      <c r="P3" s="356">
        <f>职业!$AI$4+主要!$R$17</f>
        <v>0</v>
      </c>
      <c r="Q3" s="356">
        <f>职业!$AI$4+主要!$R$17</f>
        <v>0</v>
      </c>
      <c r="R3" s="356">
        <f>职业!$AI$4+主要!$R$17</f>
        <v>0</v>
      </c>
      <c r="S3" s="356">
        <f>职业!$AI$4+主要!$R$17</f>
        <v>0</v>
      </c>
      <c r="T3" s="356">
        <f>职业!$AI$4+主要!$R$17</f>
        <v>0</v>
      </c>
      <c r="U3" s="356">
        <f>职业!$AI$4+主要!$R$17</f>
        <v>0</v>
      </c>
      <c r="V3" s="356">
        <f>职业!$AI$4+主要!$R$17</f>
        <v>0</v>
      </c>
      <c r="W3" s="356">
        <f>职业!$AI$4+主要!$R$17</f>
        <v>0</v>
      </c>
      <c r="X3" s="356">
        <f>职业!$AI$4+主要!$R$17</f>
        <v>0</v>
      </c>
      <c r="Y3" s="356">
        <f>职业!$AI$4+主要!$R$17</f>
        <v>0</v>
      </c>
      <c r="Z3" s="356">
        <f>职业!$AI$4+主要!$R$17</f>
        <v>0</v>
      </c>
      <c r="AA3" s="356">
        <f>职业!$AI$4+主要!$R$17</f>
        <v>0</v>
      </c>
      <c r="AB3" s="356">
        <f>职业!$AI$4+主要!$R$17</f>
        <v>0</v>
      </c>
      <c r="AC3" s="356">
        <f>职业!$AI$4+主要!$R$17</f>
        <v>0</v>
      </c>
      <c r="AD3" s="356">
        <f>职业!$AI$4+主要!$R$17</f>
        <v>0</v>
      </c>
      <c r="AE3" s="356">
        <f>职业!$AI$4+主要!$R$17</f>
        <v>0</v>
      </c>
      <c r="AF3" s="356">
        <f>职业!$AI$4+主要!$R$17</f>
        <v>0</v>
      </c>
      <c r="AG3" s="356">
        <f>职业!$AI$4+主要!$R$17</f>
        <v>0</v>
      </c>
      <c r="AH3" s="456">
        <f>职业!AI4</f>
        <v>0</v>
      </c>
      <c r="AI3" s="356"/>
      <c r="AJ3" s="549"/>
      <c r="AK3" s="549"/>
      <c r="AL3" s="549"/>
      <c r="AM3" s="549"/>
      <c r="AN3" s="549"/>
      <c r="AO3" s="549"/>
      <c r="AP3" s="549"/>
      <c r="AQ3" s="549"/>
      <c r="AR3" s="549"/>
      <c r="AS3" s="549"/>
      <c r="AT3" s="549"/>
      <c r="AU3" s="549"/>
      <c r="AV3" s="549"/>
      <c r="AW3" s="549"/>
      <c r="AX3" s="549"/>
      <c r="AY3" s="549"/>
      <c r="AZ3" s="549"/>
      <c r="BA3" s="549"/>
      <c r="BB3" s="549"/>
      <c r="BC3" s="549"/>
      <c r="BD3" s="549"/>
      <c r="BE3" s="549"/>
      <c r="BN3" s="549"/>
      <c r="BO3" s="549"/>
      <c r="BP3" s="549"/>
      <c r="BQ3" s="549"/>
      <c r="BR3" s="549"/>
      <c r="BS3" s="549"/>
      <c r="BT3" s="549"/>
      <c r="BU3" s="549"/>
      <c r="BV3" s="549"/>
      <c r="BW3" s="549"/>
      <c r="BX3" s="549"/>
      <c r="BY3" s="549"/>
      <c r="BZ3" s="549"/>
      <c r="CA3" s="549"/>
      <c r="CB3" s="549"/>
      <c r="CE3" s="19"/>
      <c r="CF3" s="19"/>
      <c r="CH3" s="18" t="s">
        <v>141</v>
      </c>
      <c r="CI3" s="18">
        <v>2</v>
      </c>
      <c r="CL3" s="17">
        <f>IF(ISBLANK(背包!B6),,INDEX(CO1:CQ149,MATCH(背包!B6&amp;"*",CN1:CN149,0),1))</f>
        <v>0</v>
      </c>
      <c r="CM3" s="20">
        <f>IF(ISBLANK(背包!B6),,INDEX(CN1:CQ149,MATCH(背包!B6&amp;"*",CN1:CN149,0),1))</f>
        <v>0</v>
      </c>
      <c r="CN3" s="51" t="s">
        <v>3436</v>
      </c>
      <c r="CO3" s="52" t="s">
        <v>3437</v>
      </c>
      <c r="CP3" s="51" t="s">
        <v>293</v>
      </c>
      <c r="CQ3" s="51">
        <v>1</v>
      </c>
      <c r="CR3" s="17">
        <f>VLOOKUP(CM3,CN1:CQ147,4,0)</f>
        <v>0</v>
      </c>
      <c r="CT3" s="337" t="s">
        <v>3745</v>
      </c>
    </row>
    <row r="4" spans="1:98" ht="16.5" customHeight="1">
      <c r="A4" s="19">
        <v>3</v>
      </c>
      <c r="B4" s="19" t="str">
        <f>IF(法术书!X5="","",法术书!X5)</f>
        <v/>
      </c>
      <c r="C4" s="19" t="str">
        <f>IFERROR(VLOOKUP(B4,法术大全!$A:$W,5,FALSE),"")</f>
        <v/>
      </c>
      <c r="D4" s="284" t="str">
        <f>IFERROR(VLOOKUP(B4,法术大全!$A:$W,4,FALSE),"")</f>
        <v/>
      </c>
      <c r="E4" s="19">
        <v>3</v>
      </c>
      <c r="F4" s="285" t="str">
        <f t="shared" si="0"/>
        <v/>
      </c>
      <c r="G4" s="242"/>
      <c r="H4" s="243" t="str">
        <f>IF(主要!Q68&lt;&gt;"",主要!Q68,"")</f>
        <v/>
      </c>
      <c r="I4" s="19">
        <f>IF(VLOOKUP(H4,法术大全!$A$3:$E$574,4,0)="√",1,0)</f>
        <v>0</v>
      </c>
      <c r="J4" s="19">
        <f>IF(VLOOKUP(H4,法术大全!$A$3:$E$574,5,0)="√",1,0)</f>
        <v>0</v>
      </c>
      <c r="K4" s="242" t="str" cm="1">
        <f t="array" ref="K4">IFERROR(INDEX($H$1:$H$59,SMALL(IF($H$2:$H$59&lt;&gt;"",ROW($H$2:$H$59),4^8),ROW(4:4)))&amp;"","")</f>
        <v/>
      </c>
      <c r="L4" s="19"/>
      <c r="M4" s="355" t="s">
        <v>209</v>
      </c>
      <c r="N4" s="356">
        <f>职业!$AI$5+主要!$R$17</f>
        <v>0</v>
      </c>
      <c r="O4" s="356">
        <f>职业!$AI$5+主要!$R$17</f>
        <v>0</v>
      </c>
      <c r="P4" s="356">
        <f>职业!$AI$5+主要!$R$17</f>
        <v>0</v>
      </c>
      <c r="Q4" s="356">
        <f>职业!$AI$5+主要!$R$17</f>
        <v>0</v>
      </c>
      <c r="R4" s="356">
        <f>职业!$AI$5+主要!$R$17</f>
        <v>0</v>
      </c>
      <c r="S4" s="356">
        <f>职业!$AI$5+主要!$R$17</f>
        <v>0</v>
      </c>
      <c r="T4" s="356">
        <f>职业!$AI$5+主要!$R$17</f>
        <v>0</v>
      </c>
      <c r="U4" s="356">
        <f>职业!$AI$5+主要!$R$17</f>
        <v>0</v>
      </c>
      <c r="V4" s="356">
        <f>职业!$AI$5+主要!$R$17</f>
        <v>0</v>
      </c>
      <c r="W4" s="356">
        <f>职业!$AI$5+主要!$R$17</f>
        <v>0</v>
      </c>
      <c r="X4" s="356">
        <f>职业!$AI$5+主要!$R$17</f>
        <v>0</v>
      </c>
      <c r="Y4" s="356">
        <f>职业!$AI$5+主要!$R$17</f>
        <v>0</v>
      </c>
      <c r="Z4" s="356">
        <f>职业!$AI$5+主要!$R$17</f>
        <v>0</v>
      </c>
      <c r="AA4" s="356">
        <f>职业!$AI$5+主要!$R$17</f>
        <v>0</v>
      </c>
      <c r="AB4" s="356">
        <f>职业!$AI$5+主要!$R$17</f>
        <v>0</v>
      </c>
      <c r="AC4" s="356">
        <f>职业!$AI$5+主要!$R$17</f>
        <v>0</v>
      </c>
      <c r="AD4" s="356">
        <f>职业!$AI$5+主要!$R$17</f>
        <v>0</v>
      </c>
      <c r="AE4" s="356">
        <f>职业!$AI$5+主要!$R$17</f>
        <v>0</v>
      </c>
      <c r="AF4" s="356">
        <f>职业!$AI$5+主要!$R$17</f>
        <v>0</v>
      </c>
      <c r="AG4" s="356">
        <f>职业!$AI$5+主要!$R$17</f>
        <v>0</v>
      </c>
      <c r="AH4" s="456">
        <f>职业!AI5</f>
        <v>0</v>
      </c>
      <c r="AI4" s="356"/>
      <c r="AJ4" s="549"/>
      <c r="AK4" s="549"/>
      <c r="AL4" s="549"/>
      <c r="AM4" s="549"/>
      <c r="AN4" s="549"/>
      <c r="AO4" s="549"/>
      <c r="AP4" s="549"/>
      <c r="AQ4" s="549"/>
      <c r="AR4" s="549"/>
      <c r="AS4" s="549"/>
      <c r="AT4" s="549"/>
      <c r="AU4" s="549"/>
      <c r="AV4" s="549"/>
      <c r="AW4" s="549"/>
      <c r="AX4" s="549"/>
      <c r="AY4" s="549"/>
      <c r="AZ4" s="549"/>
      <c r="BA4" s="549"/>
      <c r="BB4" s="549"/>
      <c r="BC4" s="549"/>
      <c r="BD4" s="549"/>
      <c r="BE4" s="549"/>
      <c r="BN4" s="549"/>
      <c r="BO4" s="549"/>
      <c r="BP4" s="549"/>
      <c r="BQ4" s="549"/>
      <c r="BR4" s="549"/>
      <c r="BS4" s="549"/>
      <c r="BT4" s="549"/>
      <c r="BU4" s="549"/>
      <c r="BV4" s="549"/>
      <c r="BW4" s="549"/>
      <c r="BX4" s="549"/>
      <c r="BY4" s="549"/>
      <c r="BZ4" s="549"/>
      <c r="CA4" s="549"/>
      <c r="CB4" s="549"/>
      <c r="CH4" s="18" t="s">
        <v>142</v>
      </c>
      <c r="CI4" s="18">
        <v>3</v>
      </c>
      <c r="CL4" s="17">
        <f>IF(ISBLANK(背包!B7),,INDEX(CO1:CQ149,MATCH(背包!B7&amp;"*",CN1:CN149,0),1))</f>
        <v>0</v>
      </c>
      <c r="CM4" s="20">
        <f>IF(ISBLANK(背包!B7),,INDEX(CN1:CQ149,MATCH(背包!B7&amp;"*",CN1:CN149,0),1))</f>
        <v>0</v>
      </c>
      <c r="CN4" s="53" t="s">
        <v>3438</v>
      </c>
      <c r="CO4" s="52" t="s">
        <v>81</v>
      </c>
      <c r="CP4" s="51" t="s">
        <v>240</v>
      </c>
      <c r="CQ4" s="51">
        <v>0.05</v>
      </c>
      <c r="CR4" s="17">
        <f>VLOOKUP(CM4,CN1:CQ147,4,0)</f>
        <v>0</v>
      </c>
      <c r="CT4" s="337" t="s">
        <v>6053</v>
      </c>
    </row>
    <row r="5" spans="1:98" ht="16.5" customHeight="1">
      <c r="A5" s="19">
        <v>4</v>
      </c>
      <c r="B5" s="19" t="str">
        <f>IF(法术书!X6="","",法术书!X6)</f>
        <v/>
      </c>
      <c r="C5" s="19" t="str">
        <f>IFERROR(VLOOKUP(B5,法术大全!$A:$W,5,FALSE),"")</f>
        <v/>
      </c>
      <c r="D5" s="284" t="str">
        <f>IFERROR(VLOOKUP(B5,法术大全!$A:$W,4,FALSE),"")</f>
        <v/>
      </c>
      <c r="E5" s="19">
        <v>4</v>
      </c>
      <c r="F5" s="285" t="str">
        <f t="shared" si="0"/>
        <v/>
      </c>
      <c r="G5" s="242"/>
      <c r="H5" s="243" t="str">
        <f>IF(主要!Q69&lt;&gt;"",主要!Q69,"")</f>
        <v/>
      </c>
      <c r="I5" s="19">
        <f>IF(VLOOKUP(H5,法术大全!$A$3:$E$574,4,0)="√",1,0)</f>
        <v>0</v>
      </c>
      <c r="J5" s="19">
        <f>IF(VLOOKUP(H5,法术大全!$A$3:$E$574,5,0)="√",1,0)</f>
        <v>0</v>
      </c>
      <c r="K5" s="242" t="str" cm="1">
        <f t="array" ref="K5">IFERROR(INDEX($H$1:$H$59,SMALL(IF($H$2:$H$59&lt;&gt;"",ROW($H$2:$H$59),4^8),ROW(5:5)))&amp;"","")</f>
        <v/>
      </c>
      <c r="L5" s="19"/>
      <c r="M5" s="355" t="s">
        <v>203</v>
      </c>
      <c r="N5" s="356">
        <f>ROUNDDOWN(职业!$AI$8/2,0)+主要!$R$18</f>
        <v>0</v>
      </c>
      <c r="O5" s="356">
        <f>ROUNDDOWN(职业!$AI$8/2,0)+主要!$R$18</f>
        <v>0</v>
      </c>
      <c r="P5" s="356">
        <f>ROUNDDOWN(职业!$AI$8/2,0)+主要!$R$18</f>
        <v>0</v>
      </c>
      <c r="Q5" s="356">
        <f>ROUNDDOWN(职业!$AI$8/2,0)+主要!$R$18</f>
        <v>0</v>
      </c>
      <c r="R5" s="356">
        <f>ROUNDDOWN(职业!$AI$8/2,0)+主要!$R$18</f>
        <v>0</v>
      </c>
      <c r="S5" s="356">
        <f>ROUNDDOWN(职业!$AI$8/2,0)+主要!$R$18</f>
        <v>0</v>
      </c>
      <c r="T5" s="356">
        <f>ROUNDDOWN(职业!$AI$8/2,0)+主要!$R$18</f>
        <v>0</v>
      </c>
      <c r="U5" s="356">
        <f>ROUNDDOWN(职业!$AI$8/2,0)+主要!$R$18</f>
        <v>0</v>
      </c>
      <c r="V5" s="356">
        <f>ROUNDDOWN(职业!$AI$8/2,0)+主要!$R$18</f>
        <v>0</v>
      </c>
      <c r="W5" s="356">
        <f>ROUNDDOWN(职业!$AI$8/2,0)+主要!$R$18</f>
        <v>0</v>
      </c>
      <c r="X5" s="356">
        <f>ROUNDDOWN(职业!$AI$8/2,0)+主要!$R$18</f>
        <v>0</v>
      </c>
      <c r="Y5" s="356">
        <f>ROUNDDOWN(职业!$AI$8/2,0)+主要!$R$18</f>
        <v>0</v>
      </c>
      <c r="Z5" s="356">
        <f>ROUNDDOWN(职业!$AI$8/2,0)+主要!$R$18</f>
        <v>0</v>
      </c>
      <c r="AA5" s="356">
        <f>ROUNDDOWN(职业!$AI$8/2,0)+主要!$R$18</f>
        <v>0</v>
      </c>
      <c r="AB5" s="356">
        <f>ROUNDDOWN(职业!$AI$8/2,0)+主要!$R$18</f>
        <v>0</v>
      </c>
      <c r="AC5" s="356">
        <f>ROUNDDOWN(职业!$AI$8/2,0)+主要!$R$18</f>
        <v>0</v>
      </c>
      <c r="AD5" s="356">
        <f>ROUNDDOWN(职业!$AI$8/2,0)+主要!$R$18</f>
        <v>0</v>
      </c>
      <c r="AE5" s="356">
        <f>ROUNDDOWN(职业!$AI$8/2,0)+主要!$R$18</f>
        <v>0</v>
      </c>
      <c r="AF5" s="356">
        <f>ROUNDDOWN(职业!$AI$8/2,0)+主要!$R$18</f>
        <v>0</v>
      </c>
      <c r="AG5" s="356">
        <f>ROUNDDOWN(职业!$AI$8/2,0)+主要!$R$18</f>
        <v>0</v>
      </c>
      <c r="AH5" s="456">
        <f>职业!AI8</f>
        <v>0</v>
      </c>
      <c r="AI5" s="356"/>
      <c r="AJ5" s="549"/>
      <c r="AK5" s="549"/>
      <c r="AL5" s="549"/>
      <c r="AM5" s="549"/>
      <c r="AN5" s="549"/>
      <c r="AO5" s="549"/>
      <c r="AP5" s="549"/>
      <c r="AQ5" s="549"/>
      <c r="AR5" s="549"/>
      <c r="AS5" s="549"/>
      <c r="AT5" s="549"/>
      <c r="AU5" s="549"/>
      <c r="AV5" s="549"/>
      <c r="AW5" s="549"/>
      <c r="AX5" s="549"/>
      <c r="AY5" s="549"/>
      <c r="AZ5" s="549"/>
      <c r="BA5" s="549"/>
      <c r="BB5" s="549"/>
      <c r="BC5" s="549"/>
      <c r="BD5" s="549"/>
      <c r="BE5" s="549"/>
      <c r="BN5" s="549"/>
      <c r="BO5" s="549"/>
      <c r="BP5" s="549"/>
      <c r="BQ5" s="549"/>
      <c r="BR5" s="549"/>
      <c r="BS5" s="549"/>
      <c r="BT5" s="549"/>
      <c r="BU5" s="549"/>
      <c r="BV5" s="549"/>
      <c r="BW5" s="549"/>
      <c r="BX5" s="549"/>
      <c r="BY5" s="549"/>
      <c r="BZ5" s="549"/>
      <c r="CA5" s="549"/>
      <c r="CB5" s="549"/>
      <c r="CF5" s="20" t="s">
        <v>149</v>
      </c>
      <c r="CH5" s="18" t="s">
        <v>150</v>
      </c>
      <c r="CI5" s="18">
        <v>4</v>
      </c>
      <c r="CL5" s="17">
        <f>IF(ISBLANK(背包!B8),,INDEX(CO1:CQ149,MATCH(背包!B8&amp;"*",CN1:CN149,0),1))</f>
        <v>0</v>
      </c>
      <c r="CM5" s="20">
        <f>IF(ISBLANK(背包!B8),,INDEX(CN1:CQ149,MATCH(背包!B8&amp;"*",CN1:CN149,0),1))</f>
        <v>0</v>
      </c>
      <c r="CN5" s="53" t="s">
        <v>3439</v>
      </c>
      <c r="CO5" s="52" t="s">
        <v>81</v>
      </c>
      <c r="CP5" s="51" t="s">
        <v>240</v>
      </c>
      <c r="CQ5" s="51">
        <v>0.02</v>
      </c>
      <c r="CR5" s="17">
        <f>VLOOKUP(CM5,CN1:CQ147,4,0)</f>
        <v>0</v>
      </c>
      <c r="CT5" s="337" t="s">
        <v>3755</v>
      </c>
    </row>
    <row r="6" spans="1:98" ht="16.5" customHeight="1">
      <c r="A6" s="19">
        <v>5</v>
      </c>
      <c r="B6" s="19" t="str">
        <f>IF(法术书!X7="","",法术书!X7)</f>
        <v/>
      </c>
      <c r="C6" s="19" t="str">
        <f>IFERROR(VLOOKUP(B6,法术大全!$A:$W,5,FALSE),"")</f>
        <v/>
      </c>
      <c r="D6" s="284" t="str">
        <f>IFERROR(VLOOKUP(B6,法术大全!$A:$W,4,FALSE),"")</f>
        <v/>
      </c>
      <c r="E6" s="19">
        <v>5</v>
      </c>
      <c r="F6" s="285" t="str">
        <f t="shared" si="0"/>
        <v/>
      </c>
      <c r="G6" s="242"/>
      <c r="H6" s="243" t="str">
        <f>IF(主要!Q70&lt;&gt;"",主要!Q70,"")</f>
        <v/>
      </c>
      <c r="I6" s="19">
        <f>IF(VLOOKUP(H6,法术大全!$A$3:$E$574,4,0)="√",1,0)</f>
        <v>0</v>
      </c>
      <c r="J6" s="19">
        <f>IF(VLOOKUP(H6,法术大全!$A$3:$E$574,5,0)="√",1,0)</f>
        <v>0</v>
      </c>
      <c r="K6" s="242" t="str" cm="1">
        <f t="array" ref="K6">IFERROR(INDEX($H$1:$H$59,SMALL(IF($H$2:$H$59&lt;&gt;"",ROW($H$2:$H$59),4^8),ROW(6:6)))&amp;"","")</f>
        <v/>
      </c>
      <c r="L6" s="19"/>
      <c r="M6" s="355" t="s">
        <v>235</v>
      </c>
      <c r="N6" s="356">
        <v>0</v>
      </c>
      <c r="O6" s="356">
        <v>2</v>
      </c>
      <c r="P6" s="356">
        <v>3</v>
      </c>
      <c r="Q6" s="356">
        <v>3</v>
      </c>
      <c r="R6" s="356">
        <v>4</v>
      </c>
      <c r="S6" s="356">
        <v>4</v>
      </c>
      <c r="T6" s="356">
        <v>5</v>
      </c>
      <c r="U6" s="356">
        <v>5</v>
      </c>
      <c r="V6" s="356">
        <v>6</v>
      </c>
      <c r="W6" s="356">
        <v>6</v>
      </c>
      <c r="X6" s="356">
        <v>7</v>
      </c>
      <c r="Y6" s="356">
        <v>7</v>
      </c>
      <c r="Z6" s="356">
        <v>8</v>
      </c>
      <c r="AA6" s="356">
        <v>8</v>
      </c>
      <c r="AB6" s="356">
        <v>9</v>
      </c>
      <c r="AC6" s="356">
        <v>9</v>
      </c>
      <c r="AD6" s="356">
        <v>10</v>
      </c>
      <c r="AE6" s="356">
        <v>10</v>
      </c>
      <c r="AF6" s="356">
        <v>11</v>
      </c>
      <c r="AG6" s="356">
        <v>11</v>
      </c>
      <c r="AH6" s="456">
        <f>职业!AI9</f>
        <v>0</v>
      </c>
      <c r="AI6" s="356"/>
      <c r="AJ6" s="549"/>
      <c r="AK6" s="549"/>
      <c r="AL6" s="549"/>
      <c r="AM6" s="549"/>
      <c r="AN6" s="549"/>
      <c r="AO6" s="549"/>
      <c r="AP6" s="549"/>
      <c r="AQ6" s="549"/>
      <c r="AR6" s="549"/>
      <c r="AS6" s="549"/>
      <c r="AT6" s="549"/>
      <c r="AU6" s="549"/>
      <c r="AV6" s="549"/>
      <c r="AW6" s="549"/>
      <c r="AX6" s="549"/>
      <c r="AY6" s="549"/>
      <c r="AZ6" s="549"/>
      <c r="BA6" s="549"/>
      <c r="BB6" s="549"/>
      <c r="BC6" s="549"/>
      <c r="BD6" s="549"/>
      <c r="BE6" s="549"/>
      <c r="BN6" s="549"/>
      <c r="BO6" s="549"/>
      <c r="BP6" s="549"/>
      <c r="BQ6" s="549"/>
      <c r="BR6" s="549"/>
      <c r="BS6" s="549"/>
      <c r="BT6" s="549"/>
      <c r="BU6" s="549"/>
      <c r="BV6" s="549"/>
      <c r="BW6" s="549"/>
      <c r="BX6" s="549"/>
      <c r="BY6" s="549"/>
      <c r="BZ6" s="549"/>
      <c r="CA6" s="549"/>
      <c r="CB6" s="549"/>
      <c r="CF6" s="20" t="s">
        <v>154</v>
      </c>
      <c r="CH6" s="18" t="s">
        <v>155</v>
      </c>
      <c r="CI6" s="18">
        <v>5</v>
      </c>
      <c r="CL6" s="17">
        <f>IF(ISBLANK(背包!B9),,INDEX(CO1:CQ149,MATCH(背包!B9&amp;"*",CN1:CN149,0),1))</f>
        <v>0</v>
      </c>
      <c r="CM6" s="20">
        <f>IF(ISBLANK(背包!B9),,INDEX(CN1:CQ149,MATCH(背包!B9&amp;"*",CN1:CN149,0),1))</f>
        <v>0</v>
      </c>
      <c r="CN6" s="53" t="s">
        <v>3440</v>
      </c>
      <c r="CO6" s="52" t="s">
        <v>81</v>
      </c>
      <c r="CP6" s="51" t="s">
        <v>240</v>
      </c>
      <c r="CQ6" s="51">
        <v>7.4999999999999997E-2</v>
      </c>
      <c r="CR6" s="17">
        <f>VLOOKUP(CM6,CN1:CQ147,4,0)</f>
        <v>0</v>
      </c>
      <c r="CT6" s="337" t="s">
        <v>3746</v>
      </c>
    </row>
    <row r="7" spans="1:98" ht="16.5" customHeight="1">
      <c r="A7" s="19">
        <v>6</v>
      </c>
      <c r="B7" s="19" t="str">
        <f>IF(法术书!X8="","",法术书!X8)</f>
        <v/>
      </c>
      <c r="C7" s="19" t="str">
        <f>IFERROR(VLOOKUP(B7,法术大全!$A:$W,5,FALSE),"")</f>
        <v/>
      </c>
      <c r="D7" s="284" t="str">
        <f>IFERROR(VLOOKUP(B7,法术大全!$A:$W,4,FALSE),"")</f>
        <v/>
      </c>
      <c r="E7" s="19">
        <v>6</v>
      </c>
      <c r="F7" s="285" t="str">
        <f t="shared" si="0"/>
        <v/>
      </c>
      <c r="G7" s="242"/>
      <c r="H7" s="243" t="str">
        <f>IF(主要!Q71&lt;&gt;"",主要!Q71,"")</f>
        <v/>
      </c>
      <c r="I7" s="19">
        <f>IF(VLOOKUP(H7,法术大全!$A$3:$E$574,4,0)="√",1,0)</f>
        <v>0</v>
      </c>
      <c r="J7" s="19">
        <f>IF(VLOOKUP(H7,法术大全!$A$3:$E$574,5,0)="√",1,0)</f>
        <v>0</v>
      </c>
      <c r="K7" s="242" t="str" cm="1">
        <f t="array" ref="K7">IFERROR(INDEX($H$1:$H$59,SMALL(IF($H$2:$H$59&lt;&gt;"",ROW($H$2:$H$59),4^8),ROW(7:7)))&amp;"","")</f>
        <v/>
      </c>
      <c r="L7" s="19"/>
      <c r="M7" s="355" t="s">
        <v>221</v>
      </c>
      <c r="N7" s="356">
        <v>2</v>
      </c>
      <c r="O7" s="356">
        <v>3</v>
      </c>
      <c r="P7" s="356">
        <v>4</v>
      </c>
      <c r="Q7" s="356">
        <v>5</v>
      </c>
      <c r="R7" s="356">
        <v>6</v>
      </c>
      <c r="S7" s="356">
        <v>7</v>
      </c>
      <c r="T7" s="356">
        <v>8</v>
      </c>
      <c r="U7" s="356">
        <v>9</v>
      </c>
      <c r="V7" s="356">
        <v>10</v>
      </c>
      <c r="W7" s="356">
        <v>11</v>
      </c>
      <c r="X7" s="356">
        <v>12</v>
      </c>
      <c r="Y7" s="356">
        <v>12</v>
      </c>
      <c r="Z7" s="356">
        <v>13</v>
      </c>
      <c r="AA7" s="356">
        <v>13</v>
      </c>
      <c r="AB7" s="356">
        <v>14</v>
      </c>
      <c r="AC7" s="356">
        <v>14</v>
      </c>
      <c r="AD7" s="356">
        <v>15</v>
      </c>
      <c r="AE7" s="356">
        <v>15</v>
      </c>
      <c r="AF7" s="356">
        <v>15</v>
      </c>
      <c r="AG7" s="356">
        <v>15</v>
      </c>
      <c r="AH7" s="456">
        <f>职业!AI11</f>
        <v>0</v>
      </c>
      <c r="AI7" s="356"/>
      <c r="AJ7" s="549"/>
      <c r="AK7" s="549"/>
      <c r="AL7" s="549"/>
      <c r="AM7" s="549"/>
      <c r="AN7" s="549"/>
      <c r="AO7" s="549"/>
      <c r="AP7" s="549"/>
      <c r="AQ7" s="549"/>
      <c r="AR7" s="549"/>
      <c r="AS7" s="549"/>
      <c r="AT7" s="549"/>
      <c r="AU7" s="549"/>
      <c r="AV7" s="549"/>
      <c r="AW7" s="549"/>
      <c r="AX7" s="549"/>
      <c r="AY7" s="549"/>
      <c r="AZ7" s="549"/>
      <c r="BA7" s="549"/>
      <c r="BB7" s="549"/>
      <c r="BC7" s="549"/>
      <c r="BD7" s="549"/>
      <c r="BE7" s="549"/>
      <c r="BN7" s="549"/>
      <c r="BO7" s="549"/>
      <c r="BP7" s="549"/>
      <c r="BQ7" s="549"/>
      <c r="BR7" s="549"/>
      <c r="BS7" s="549"/>
      <c r="BT7" s="549"/>
      <c r="BU7" s="549"/>
      <c r="BV7" s="549"/>
      <c r="BW7" s="549"/>
      <c r="BX7" s="549"/>
      <c r="BY7" s="549"/>
      <c r="BZ7" s="549"/>
      <c r="CA7" s="549"/>
      <c r="CB7" s="549"/>
      <c r="CF7" s="20" t="s">
        <v>161</v>
      </c>
      <c r="CH7" s="18" t="s">
        <v>162</v>
      </c>
      <c r="CI7" s="18">
        <v>6</v>
      </c>
      <c r="CL7" s="17">
        <f>IF(ISBLANK(背包!B10),,INDEX(CO1:CQ149,MATCH(背包!B10&amp;"*",CN1:CN149,0),1))</f>
        <v>0</v>
      </c>
      <c r="CM7" s="20">
        <f>IF(ISBLANK(背包!B10),,INDEX(CN1:CQ149,MATCH(背包!B10&amp;"*",CN1:CN149,0),1))</f>
        <v>0</v>
      </c>
      <c r="CN7" s="53" t="s">
        <v>3441</v>
      </c>
      <c r="CO7" s="52" t="s">
        <v>81</v>
      </c>
      <c r="CP7" s="51" t="s">
        <v>3442</v>
      </c>
      <c r="CQ7" s="51">
        <v>7.4999999999999997E-2</v>
      </c>
      <c r="CR7" s="17">
        <f>VLOOKUP(CM7,CN1:CQ147,4,0)</f>
        <v>0</v>
      </c>
      <c r="CT7" s="337" t="s">
        <v>3747</v>
      </c>
    </row>
    <row r="8" spans="1:98" ht="16.5" customHeight="1">
      <c r="A8" s="19">
        <v>7</v>
      </c>
      <c r="B8" s="19" t="str">
        <f>IF(法术书!X9="","",法术书!X9)</f>
        <v/>
      </c>
      <c r="C8" s="19" t="str">
        <f>IFERROR(VLOOKUP(B8,法术大全!$A:$W,5,FALSE),"")</f>
        <v/>
      </c>
      <c r="D8" s="284" t="str">
        <f>IFERROR(VLOOKUP(B8,法术大全!$A:$W,4,FALSE),"")</f>
        <v/>
      </c>
      <c r="E8" s="19">
        <v>7</v>
      </c>
      <c r="F8" s="285" t="str">
        <f t="shared" si="0"/>
        <v/>
      </c>
      <c r="G8" s="242"/>
      <c r="H8" s="243" t="str">
        <f>IF(主要!Q72&lt;&gt;"",主要!Q72,"")</f>
        <v/>
      </c>
      <c r="I8" s="19">
        <f>IF(VLOOKUP(H8,法术大全!$A$3:$E$574,4,0)="√",1,0)</f>
        <v>0</v>
      </c>
      <c r="J8" s="19">
        <f>IF(VLOOKUP(H8,法术大全!$A$3:$E$574,5,0)="√",1,0)</f>
        <v>0</v>
      </c>
      <c r="K8" s="242" t="str" cm="1">
        <f t="array" ref="K8">IFERROR(INDEX($H$1:$H$59,SMALL(IF($H$2:$H$59&lt;&gt;"",ROW($H$2:$H$59),4^8),ROW(8:8)))&amp;"","")</f>
        <v/>
      </c>
      <c r="L8" s="19"/>
      <c r="M8" s="355" t="s">
        <v>1990</v>
      </c>
      <c r="N8" s="356">
        <v>2</v>
      </c>
      <c r="O8" s="356">
        <v>3</v>
      </c>
      <c r="P8" s="356">
        <v>4</v>
      </c>
      <c r="Q8" s="356">
        <v>5</v>
      </c>
      <c r="R8" s="356">
        <v>6</v>
      </c>
      <c r="S8" s="356">
        <v>7</v>
      </c>
      <c r="T8" s="356">
        <v>8</v>
      </c>
      <c r="U8" s="356">
        <v>9</v>
      </c>
      <c r="V8" s="356">
        <v>10</v>
      </c>
      <c r="W8" s="356">
        <v>10</v>
      </c>
      <c r="X8" s="356">
        <v>11</v>
      </c>
      <c r="Y8" s="356">
        <v>11</v>
      </c>
      <c r="Z8" s="356">
        <v>12</v>
      </c>
      <c r="AA8" s="356">
        <v>12</v>
      </c>
      <c r="AB8" s="356">
        <v>13</v>
      </c>
      <c r="AC8" s="356">
        <v>13</v>
      </c>
      <c r="AD8" s="356">
        <v>14</v>
      </c>
      <c r="AE8" s="356">
        <v>14</v>
      </c>
      <c r="AF8" s="356">
        <v>15</v>
      </c>
      <c r="AG8" s="356">
        <v>15</v>
      </c>
      <c r="AH8" s="456">
        <f>职业!AI12</f>
        <v>0</v>
      </c>
      <c r="AI8" s="356"/>
      <c r="AJ8" s="549"/>
      <c r="AK8" s="549"/>
      <c r="AL8" s="549"/>
      <c r="AM8" s="549"/>
      <c r="AN8" s="549"/>
      <c r="AO8" s="549"/>
      <c r="AP8" s="549"/>
      <c r="AQ8" s="549"/>
      <c r="AR8" s="549"/>
      <c r="AS8" s="549"/>
      <c r="AT8" s="549"/>
      <c r="AU8" s="549"/>
      <c r="AV8" s="549"/>
      <c r="AW8" s="549"/>
      <c r="AX8" s="549"/>
      <c r="AY8" s="549"/>
      <c r="AZ8" s="549"/>
      <c r="BA8" s="549"/>
      <c r="BB8" s="549"/>
      <c r="BC8" s="549"/>
      <c r="BD8" s="549"/>
      <c r="BE8" s="549"/>
      <c r="BN8" s="549"/>
      <c r="BO8" s="549"/>
      <c r="BP8" s="549"/>
      <c r="BQ8" s="549"/>
      <c r="BR8" s="549"/>
      <c r="BS8" s="549"/>
      <c r="BT8" s="549"/>
      <c r="BU8" s="549"/>
      <c r="BV8" s="549"/>
      <c r="BW8" s="549"/>
      <c r="BX8" s="549"/>
      <c r="BY8" s="549"/>
      <c r="BZ8" s="549"/>
      <c r="CA8" s="549"/>
      <c r="CB8" s="549"/>
      <c r="CH8" s="18" t="s">
        <v>164</v>
      </c>
      <c r="CI8" s="18">
        <v>7</v>
      </c>
      <c r="CL8" s="17">
        <f>IF(ISBLANK(背包!B11),,INDEX(CO1:CQ149,MATCH(背包!B11&amp;"*",CN1:CN149,0),1))</f>
        <v>0</v>
      </c>
      <c r="CM8" s="20">
        <f>IF(ISBLANK(背包!B11),,INDEX(CN1:CQ149,MATCH(背包!B11&amp;"*",CN1:CN149,0),1))</f>
        <v>0</v>
      </c>
      <c r="CN8" s="53" t="s">
        <v>3443</v>
      </c>
      <c r="CO8" s="54" t="s">
        <v>3444</v>
      </c>
      <c r="CP8" s="53" t="s">
        <v>3445</v>
      </c>
      <c r="CQ8" s="51">
        <v>0.2</v>
      </c>
      <c r="CR8" s="17">
        <f>VLOOKUP(CM8,CN1:CQ147,4,0)</f>
        <v>0</v>
      </c>
      <c r="CT8" s="337" t="s">
        <v>3748</v>
      </c>
    </row>
    <row r="9" spans="1:98" ht="16.5" customHeight="1">
      <c r="A9" s="19">
        <v>8</v>
      </c>
      <c r="B9" s="19" t="str">
        <f>IF(法术书!X10="","",法术书!X10)</f>
        <v/>
      </c>
      <c r="C9" s="19" t="str">
        <f>IFERROR(VLOOKUP(B9,法术大全!$A:$W,5,FALSE),"")</f>
        <v/>
      </c>
      <c r="D9" s="284" t="str">
        <f>IFERROR(VLOOKUP(B9,法术大全!$A:$W,4,FALSE),"")</f>
        <v/>
      </c>
      <c r="E9" s="19">
        <v>8</v>
      </c>
      <c r="F9" s="285" t="str">
        <f t="shared" si="0"/>
        <v/>
      </c>
      <c r="G9" s="242"/>
      <c r="H9" s="244" t="str">
        <f>IF(主要!Q77&lt;&gt;"",主要!Q77,"")</f>
        <v/>
      </c>
      <c r="I9" s="19">
        <f>IF(VLOOKUP(H9,法术大全!$A$3:$E$574,4,0)="√",1,0)</f>
        <v>0</v>
      </c>
      <c r="J9" s="19">
        <f>IF(VLOOKUP(H9,法术大全!$A$3:$E$574,5,0)="√",1,0)</f>
        <v>0</v>
      </c>
      <c r="K9" s="242" t="str" cm="1">
        <f t="array" ref="K9">IFERROR(INDEX($H$1:$H$59,SMALL(IF($H$2:$H$59&lt;&gt;"",ROW($H$2:$H$59),4^8),ROW(9:9)))&amp;"","")</f>
        <v/>
      </c>
      <c r="L9" s="19"/>
      <c r="M9" s="355" t="s">
        <v>230</v>
      </c>
      <c r="N9" s="356">
        <f>职业!$AI$13+主要!$R$16</f>
        <v>0</v>
      </c>
      <c r="O9" s="356">
        <f>职业!$AI$13+主要!$R$16</f>
        <v>0</v>
      </c>
      <c r="P9" s="356">
        <f>职业!$AI$13+主要!$R$16</f>
        <v>0</v>
      </c>
      <c r="Q9" s="356">
        <f>职业!$AI$13+主要!$R$16</f>
        <v>0</v>
      </c>
      <c r="R9" s="356">
        <f>职业!$AI$13+主要!$R$16</f>
        <v>0</v>
      </c>
      <c r="S9" s="356">
        <f>职业!$AI$13+主要!$R$16</f>
        <v>0</v>
      </c>
      <c r="T9" s="356">
        <f>职业!$AI$13+主要!$R$16</f>
        <v>0</v>
      </c>
      <c r="U9" s="356">
        <f>职业!$AI$13+主要!$R$16</f>
        <v>0</v>
      </c>
      <c r="V9" s="356">
        <f>职业!$AI$13+主要!$R$16</f>
        <v>0</v>
      </c>
      <c r="W9" s="356">
        <f>职业!$AI$13+主要!$R$16</f>
        <v>0</v>
      </c>
      <c r="X9" s="356">
        <f>职业!$AI$13+主要!$R$16</f>
        <v>0</v>
      </c>
      <c r="Y9" s="356">
        <f>职业!$AI$13+主要!$R$16</f>
        <v>0</v>
      </c>
      <c r="Z9" s="356">
        <f>职业!$AI$13+主要!$R$16</f>
        <v>0</v>
      </c>
      <c r="AA9" s="356">
        <f>职业!$AI$13+主要!$R$16</f>
        <v>0</v>
      </c>
      <c r="AB9" s="356">
        <f>职业!$AI$13+主要!$R$16</f>
        <v>0</v>
      </c>
      <c r="AC9" s="356">
        <f>职业!$AI$13+主要!$R$16</f>
        <v>0</v>
      </c>
      <c r="AD9" s="356">
        <f>职业!$AI$13+主要!$R$16</f>
        <v>0</v>
      </c>
      <c r="AE9" s="356">
        <f>职业!$AI$13+主要!$R$16</f>
        <v>0</v>
      </c>
      <c r="AF9" s="356">
        <f>职业!$AI$13+主要!$R$16</f>
        <v>0</v>
      </c>
      <c r="AG9" s="356">
        <f>职业!$AI$13+主要!$R$16</f>
        <v>0</v>
      </c>
      <c r="AH9" s="456">
        <f>职业!AI13</f>
        <v>0</v>
      </c>
      <c r="AI9" s="356"/>
      <c r="AJ9" s="549"/>
      <c r="AK9" s="549"/>
      <c r="AL9" s="549"/>
      <c r="AM9" s="549"/>
      <c r="AN9" s="549"/>
      <c r="AO9" s="549"/>
      <c r="AP9" s="549"/>
      <c r="AQ9" s="549"/>
      <c r="AR9" s="549"/>
      <c r="AS9" s="549"/>
      <c r="AT9" s="549"/>
      <c r="AU9" s="549"/>
      <c r="AV9" s="549"/>
      <c r="AW9" s="549"/>
      <c r="AX9" s="549"/>
      <c r="AY9" s="549"/>
      <c r="AZ9" s="549"/>
      <c r="BA9" s="549"/>
      <c r="BB9" s="549"/>
      <c r="BC9" s="549"/>
      <c r="BD9" s="549"/>
      <c r="BE9" s="549"/>
      <c r="BN9" s="549"/>
      <c r="BO9" s="549"/>
      <c r="BP9" s="549"/>
      <c r="BQ9" s="549"/>
      <c r="BR9" s="549"/>
      <c r="BS9" s="549"/>
      <c r="BT9" s="549"/>
      <c r="BU9" s="549"/>
      <c r="BV9" s="549"/>
      <c r="BW9" s="549"/>
      <c r="BX9" s="549"/>
      <c r="BY9" s="549"/>
      <c r="BZ9" s="549"/>
      <c r="CA9" s="549"/>
      <c r="CB9" s="549"/>
      <c r="CD9" s="19"/>
      <c r="CE9" s="17" t="s">
        <v>4017</v>
      </c>
      <c r="CF9" s="19" t="s">
        <v>197</v>
      </c>
      <c r="CG9" s="19">
        <f>主要!R17+IF(主要!B70="主职业",主要!O6,IF(主要!B70="兼职1",主要!O7,IF(主要!B70="兼职2",主要!O8,)))</f>
        <v>0</v>
      </c>
      <c r="CH9" s="18" t="s">
        <v>170</v>
      </c>
      <c r="CI9" s="18">
        <v>8</v>
      </c>
      <c r="CL9" s="17">
        <f>IF(ISBLANK(背包!B12),,INDEX(CO1:CQ149,MATCH(背包!B12&amp;"*",CN1:CN149,0),1))</f>
        <v>0</v>
      </c>
      <c r="CM9" s="20">
        <f>IF(ISBLANK(背包!B12),,INDEX(CN1:CQ149,MATCH(背包!B12&amp;"*",CN1:CN149,0),1))</f>
        <v>0</v>
      </c>
      <c r="CN9" s="51" t="s">
        <v>3446</v>
      </c>
      <c r="CO9" s="52" t="s">
        <v>3447</v>
      </c>
      <c r="CP9" s="51" t="s">
        <v>293</v>
      </c>
      <c r="CQ9" s="51">
        <v>0</v>
      </c>
      <c r="CR9" s="17">
        <f>VLOOKUP(CM9,CN1:CQ147,4,0)</f>
        <v>0</v>
      </c>
      <c r="CT9" s="337" t="s">
        <v>3749</v>
      </c>
    </row>
    <row r="10" spans="1:98" ht="16.5" customHeight="1">
      <c r="A10" s="19">
        <v>9</v>
      </c>
      <c r="B10" s="19" t="str">
        <f>IF(法术书!X11="","",法术书!X11)</f>
        <v/>
      </c>
      <c r="C10" s="19" t="str">
        <f>IFERROR(VLOOKUP(B10,法术大全!$A:$W,5,FALSE),"")</f>
        <v/>
      </c>
      <c r="D10" s="284" t="str">
        <f>IFERROR(VLOOKUP(B10,法术大全!$A:$W,4,FALSE),"")</f>
        <v/>
      </c>
      <c r="E10" s="19">
        <v>9</v>
      </c>
      <c r="F10" s="285" t="str">
        <f t="shared" si="0"/>
        <v/>
      </c>
      <c r="G10" s="242"/>
      <c r="H10" s="244" t="str">
        <f>IF(主要!Q78&lt;&gt;"",主要!Q78,"")</f>
        <v/>
      </c>
      <c r="I10" s="19">
        <f>IF(VLOOKUP(H10,法术大全!$A$3:$E$574,4,0)="√",1,0)</f>
        <v>0</v>
      </c>
      <c r="J10" s="19">
        <f>IF(VLOOKUP(H10,法术大全!$A$3:$E$574,5,0)="√",1,0)</f>
        <v>0</v>
      </c>
      <c r="K10" s="242" t="str" cm="1">
        <f t="array" ref="K10">IFERROR(INDEX($H$1:$H$59,SMALL(IF($H$2:$H$59&lt;&gt;"",ROW($H$2:$H$59),4^8),ROW(10:10)))&amp;"","")</f>
        <v/>
      </c>
      <c r="L10" s="19"/>
      <c r="M10" s="355" t="s">
        <v>4717</v>
      </c>
      <c r="N10" s="356">
        <f>ROUNDDOWN(职业!$AI$14/2,0)+主要!$R$16</f>
        <v>0</v>
      </c>
      <c r="O10" s="356">
        <f>ROUNDDOWN(职业!$AI$14/2,0)+主要!$R$16</f>
        <v>0</v>
      </c>
      <c r="P10" s="356">
        <f>ROUNDDOWN(职业!$AI$14/2,0)+主要!$R$16</f>
        <v>0</v>
      </c>
      <c r="Q10" s="356">
        <f>ROUNDDOWN(职业!$AI$14/2,0)+主要!$R$16</f>
        <v>0</v>
      </c>
      <c r="R10" s="356">
        <f>ROUNDDOWN(职业!$AI$14/2,0)+主要!$R$16</f>
        <v>0</v>
      </c>
      <c r="S10" s="356">
        <f>ROUNDDOWN(职业!$AI$14/2,0)+主要!$R$16</f>
        <v>0</v>
      </c>
      <c r="T10" s="356">
        <f>ROUNDDOWN(职业!$AI$14/2,0)+主要!$R$16</f>
        <v>0</v>
      </c>
      <c r="U10" s="356">
        <f>ROUNDDOWN(职业!$AI$14/2,0)+主要!$R$16</f>
        <v>0</v>
      </c>
      <c r="V10" s="356">
        <f>ROUNDDOWN(职业!$AI$14/2,0)+主要!$R$16</f>
        <v>0</v>
      </c>
      <c r="W10" s="356">
        <f>ROUNDDOWN(职业!$AI$14/2,0)+主要!$R$16</f>
        <v>0</v>
      </c>
      <c r="X10" s="356">
        <f>ROUNDDOWN(职业!$AI$14/2,0)+主要!$R$16</f>
        <v>0</v>
      </c>
      <c r="Y10" s="356">
        <f>ROUNDDOWN(职业!$AI$14/2,0)+主要!$R$16</f>
        <v>0</v>
      </c>
      <c r="Z10" s="356">
        <f>ROUNDDOWN(职业!$AI$14/2,0)+主要!$R$16</f>
        <v>0</v>
      </c>
      <c r="AA10" s="356">
        <f>ROUNDDOWN(职业!$AI$14/2,0)+主要!$R$16</f>
        <v>0</v>
      </c>
      <c r="AB10" s="356">
        <f>ROUNDDOWN(职业!$AI$14/2,0)+主要!$R$16</f>
        <v>0</v>
      </c>
      <c r="AC10" s="356">
        <f>ROUNDDOWN(职业!$AI$14/2,0)+主要!$R$16</f>
        <v>0</v>
      </c>
      <c r="AD10" s="356">
        <f>ROUNDDOWN(职业!$AI$14/2,0)+主要!$R$16</f>
        <v>0</v>
      </c>
      <c r="AE10" s="356">
        <f>ROUNDDOWN(职业!$AI$14/2,0)+主要!$R$16</f>
        <v>0</v>
      </c>
      <c r="AF10" s="356">
        <f>ROUNDDOWN(职业!$AI$14/2,0)+主要!$R$16</f>
        <v>0</v>
      </c>
      <c r="AG10" s="356">
        <f>ROUNDDOWN(职业!$AI$14/2,0)+主要!$R$16</f>
        <v>0</v>
      </c>
      <c r="AH10" s="456">
        <f>职业!AI14</f>
        <v>0</v>
      </c>
      <c r="AJ10" s="549"/>
      <c r="AK10" s="549"/>
      <c r="AL10" s="549"/>
      <c r="AM10" s="549"/>
      <c r="AN10" s="549"/>
      <c r="AO10" s="549"/>
      <c r="AP10" s="549"/>
      <c r="AQ10" s="549"/>
      <c r="AR10" s="549"/>
      <c r="AS10" s="549"/>
      <c r="AT10" s="549"/>
      <c r="AU10" s="549"/>
      <c r="AV10" s="549"/>
      <c r="AW10" s="549"/>
      <c r="AX10" s="549"/>
      <c r="AY10" s="549"/>
      <c r="AZ10" s="549"/>
      <c r="BA10" s="549"/>
      <c r="BB10" s="549"/>
      <c r="BC10" s="549"/>
      <c r="BD10" s="549"/>
      <c r="BE10" s="549"/>
      <c r="BN10" s="549"/>
      <c r="BO10" s="549"/>
      <c r="BP10" s="549"/>
      <c r="BQ10" s="549"/>
      <c r="BR10" s="549"/>
      <c r="BS10" s="549"/>
      <c r="BT10" s="549"/>
      <c r="BU10" s="549"/>
      <c r="BV10" s="549"/>
      <c r="BW10" s="549"/>
      <c r="BX10" s="549"/>
      <c r="BY10" s="549"/>
      <c r="BZ10" s="549"/>
      <c r="CA10" s="549"/>
      <c r="CB10" s="549"/>
      <c r="CD10" s="19"/>
      <c r="CE10" s="17" t="s">
        <v>4018</v>
      </c>
      <c r="CF10" s="19" t="s">
        <v>203</v>
      </c>
      <c r="CG10" s="19">
        <f>主要!R18+IF(主要!B70="主职业",INT(主要!O6/2),IF(主要!B70="兼职1",INT(主要!O7/2),IF(主要!B70="兼职2",INT(主要!O8/2),)))</f>
        <v>0</v>
      </c>
      <c r="CH10" s="18" t="s">
        <v>176</v>
      </c>
      <c r="CI10" s="18">
        <v>9</v>
      </c>
      <c r="CL10" s="17">
        <f>IF(ISBLANK(背包!B13),,INDEX(CO1:CQ149,MATCH(背包!B13&amp;"*",CN1:CN149,0),1))</f>
        <v>0</v>
      </c>
      <c r="CM10" s="20">
        <f>IF(ISBLANK(背包!B13),,INDEX(CN1:CQ149,MATCH(背包!B13&amp;"*",CN1:CN149,0),1))</f>
        <v>0</v>
      </c>
      <c r="CN10" s="51" t="s">
        <v>393</v>
      </c>
      <c r="CO10" s="52" t="s">
        <v>3448</v>
      </c>
      <c r="CP10" s="51" t="s">
        <v>277</v>
      </c>
      <c r="CQ10" s="51">
        <v>1</v>
      </c>
      <c r="CR10" s="17">
        <f>VLOOKUP(CM10,CN1:CQ147,4,0)</f>
        <v>0</v>
      </c>
      <c r="CT10" s="337" t="s">
        <v>3750</v>
      </c>
    </row>
    <row r="11" spans="1:98" ht="16.5" customHeight="1">
      <c r="A11" s="19">
        <v>10</v>
      </c>
      <c r="B11" s="19" t="str">
        <f>IF(法术书!X12="","",法术书!X12)</f>
        <v/>
      </c>
      <c r="C11" s="19" t="str">
        <f>IFERROR(VLOOKUP(B11,法术大全!$A:$W,5,FALSE),"")</f>
        <v/>
      </c>
      <c r="D11" s="284" t="str">
        <f>IFERROR(VLOOKUP(B11,法术大全!$A:$W,4,FALSE),"")</f>
        <v/>
      </c>
      <c r="E11" s="19">
        <v>10</v>
      </c>
      <c r="F11" s="285" t="str">
        <f t="shared" si="0"/>
        <v/>
      </c>
      <c r="G11" s="242"/>
      <c r="H11" s="244" t="str">
        <f>IF(主要!Q79&lt;&gt;"",主要!Q79,"")</f>
        <v/>
      </c>
      <c r="I11" s="19">
        <f>IF(VLOOKUP(H11,法术大全!$A$3:$E$574,4,0)="√",1,0)</f>
        <v>0</v>
      </c>
      <c r="J11" s="19">
        <f>IF(VLOOKUP(H11,法术大全!$A$3:$E$574,5,0)="√",1,0)</f>
        <v>0</v>
      </c>
      <c r="K11" s="242" t="str" cm="1">
        <f t="array" ref="K11">IFERROR(INDEX($H$1:$H$59,SMALL(IF($H$2:$H$59&lt;&gt;"",ROW($H$2:$H$59),4^8),ROW(11:11)))&amp;"","")</f>
        <v/>
      </c>
      <c r="L11" s="19"/>
      <c r="M11" s="355" t="s">
        <v>479</v>
      </c>
      <c r="N11" s="356">
        <v>0</v>
      </c>
      <c r="O11" s="356">
        <v>0</v>
      </c>
      <c r="P11" s="356">
        <v>3</v>
      </c>
      <c r="Q11" s="356">
        <v>4</v>
      </c>
      <c r="R11" s="356">
        <v>4</v>
      </c>
      <c r="S11" s="356">
        <v>4</v>
      </c>
      <c r="T11" s="356">
        <v>5</v>
      </c>
      <c r="U11" s="356">
        <v>6</v>
      </c>
      <c r="V11" s="356">
        <v>6</v>
      </c>
      <c r="W11" s="356">
        <v>7</v>
      </c>
      <c r="X11" s="356">
        <v>8</v>
      </c>
      <c r="Y11" s="356">
        <v>8</v>
      </c>
      <c r="Z11" s="356">
        <v>9</v>
      </c>
      <c r="AA11" s="356">
        <v>10</v>
      </c>
      <c r="AB11" s="356">
        <v>10</v>
      </c>
      <c r="AC11" s="356">
        <v>11</v>
      </c>
      <c r="AD11" s="356">
        <v>11</v>
      </c>
      <c r="AE11" s="356">
        <v>11</v>
      </c>
      <c r="AF11" s="356">
        <v>12</v>
      </c>
      <c r="AG11" s="356">
        <v>13</v>
      </c>
      <c r="AH11" s="456">
        <f>职业!AL6</f>
        <v>0</v>
      </c>
      <c r="AJ11" s="549"/>
      <c r="AK11" s="549"/>
      <c r="AL11" s="549"/>
      <c r="AM11" s="549"/>
      <c r="AN11" s="549"/>
      <c r="AO11" s="549"/>
      <c r="AP11" s="549"/>
      <c r="AQ11" s="549"/>
      <c r="AR11" s="549"/>
      <c r="AS11" s="549"/>
      <c r="AT11" s="549"/>
      <c r="AU11" s="549"/>
      <c r="AV11" s="549"/>
      <c r="AW11" s="549"/>
      <c r="AX11" s="549"/>
      <c r="AY11" s="549"/>
      <c r="AZ11" s="549"/>
      <c r="BA11" s="549"/>
      <c r="BB11" s="549"/>
      <c r="BC11" s="549"/>
      <c r="BD11" s="549"/>
      <c r="BE11" s="549"/>
      <c r="BN11" s="549"/>
      <c r="BO11" s="549"/>
      <c r="BP11" s="549"/>
      <c r="BQ11" s="549"/>
      <c r="BR11" s="549"/>
      <c r="BS11" s="549"/>
      <c r="BT11" s="549"/>
      <c r="BU11" s="549"/>
      <c r="BV11" s="549"/>
      <c r="BW11" s="549"/>
      <c r="BX11" s="549"/>
      <c r="BY11" s="549"/>
      <c r="BZ11" s="549"/>
      <c r="CA11" s="549"/>
      <c r="CB11" s="549"/>
      <c r="CD11" s="19"/>
      <c r="CE11" s="17" t="s">
        <v>4016</v>
      </c>
      <c r="CF11" s="19" t="s">
        <v>209</v>
      </c>
      <c r="CG11" s="19">
        <f>主要!R17+IF(主要!B70="主职业",主要!O6,IF(主要!B70="兼职1",主要!O7,IF(主要!B70="兼职2",主要!O8,)))</f>
        <v>0</v>
      </c>
      <c r="CL11" s="17">
        <f>IF(ISBLANK(背包!B14),,INDEX(CO1:CQ149,MATCH(背包!B14&amp;"*",CN1:CN149,0),1))</f>
        <v>0</v>
      </c>
      <c r="CM11" s="20">
        <f>IF(ISBLANK(背包!B14),,INDEX(CN1:CQ149,MATCH(背包!B14&amp;"*",CN1:CN149,0),1))</f>
        <v>0</v>
      </c>
      <c r="CN11" s="51" t="s">
        <v>394</v>
      </c>
      <c r="CO11" s="52" t="s">
        <v>3448</v>
      </c>
      <c r="CP11" s="51" t="s">
        <v>286</v>
      </c>
      <c r="CQ11" s="51">
        <v>3</v>
      </c>
      <c r="CR11" s="17">
        <f>VLOOKUP(CM11,CN1:CQ147,4,0)</f>
        <v>0</v>
      </c>
      <c r="CT11" s="337" t="s">
        <v>3751</v>
      </c>
    </row>
    <row r="12" spans="1:98" ht="16.5" customHeight="1">
      <c r="A12" s="19">
        <v>11</v>
      </c>
      <c r="B12" s="19" t="str">
        <f>IF(法术书!X13="","",法术书!X13)</f>
        <v/>
      </c>
      <c r="C12" s="19" t="str">
        <f>IFERROR(VLOOKUP(B12,法术大全!$A:$W,5,FALSE),"")</f>
        <v/>
      </c>
      <c r="D12" s="284" t="str">
        <f>IFERROR(VLOOKUP(B12,法术大全!$A:$W,4,FALSE),"")</f>
        <v/>
      </c>
      <c r="E12" s="19">
        <v>11</v>
      </c>
      <c r="F12" s="285" t="str">
        <f t="shared" si="0"/>
        <v/>
      </c>
      <c r="G12" s="242"/>
      <c r="H12" s="244" t="str">
        <f>IF(主要!Q80&lt;&gt;"",主要!Q80,"")</f>
        <v/>
      </c>
      <c r="I12" s="19">
        <f>IF(VLOOKUP(H12,法术大全!$A$3:$E$574,4,0)="√",1,0)</f>
        <v>0</v>
      </c>
      <c r="J12" s="19">
        <f>IF(VLOOKUP(H12,法术大全!$A$3:$E$574,5,0)="√",1,0)</f>
        <v>0</v>
      </c>
      <c r="K12" s="242" t="str" cm="1">
        <f t="array" ref="K12">IFERROR(INDEX($H$1:$H$59,SMALL(IF($H$2:$H$59&lt;&gt;"",ROW($H$2:$H$59),4^8),ROW(12:12)))&amp;"","")</f>
        <v/>
      </c>
      <c r="L12" s="19"/>
      <c r="M12" s="355" t="s">
        <v>504</v>
      </c>
      <c r="N12" s="356">
        <v>0</v>
      </c>
      <c r="O12" s="356">
        <v>0</v>
      </c>
      <c r="P12" s="356">
        <v>3</v>
      </c>
      <c r="Q12" s="356">
        <v>4</v>
      </c>
      <c r="R12" s="356">
        <v>4</v>
      </c>
      <c r="S12" s="356">
        <v>4</v>
      </c>
      <c r="T12" s="356">
        <v>5</v>
      </c>
      <c r="U12" s="356">
        <v>6</v>
      </c>
      <c r="V12" s="356">
        <v>6</v>
      </c>
      <c r="W12" s="356">
        <v>7</v>
      </c>
      <c r="X12" s="356">
        <v>8</v>
      </c>
      <c r="Y12" s="356">
        <v>8</v>
      </c>
      <c r="Z12" s="356">
        <v>9</v>
      </c>
      <c r="AA12" s="356">
        <v>10</v>
      </c>
      <c r="AB12" s="356">
        <v>10</v>
      </c>
      <c r="AC12" s="356">
        <v>11</v>
      </c>
      <c r="AD12" s="356">
        <v>11</v>
      </c>
      <c r="AE12" s="356">
        <v>11</v>
      </c>
      <c r="AF12" s="356">
        <v>12</v>
      </c>
      <c r="AG12" s="356">
        <v>13</v>
      </c>
      <c r="AH12" s="456">
        <f>职业!AL7</f>
        <v>0</v>
      </c>
      <c r="AJ12" s="549"/>
      <c r="AK12" s="549"/>
      <c r="AL12" s="549"/>
      <c r="AM12" s="549"/>
      <c r="AN12" s="549"/>
      <c r="AO12" s="549"/>
      <c r="AP12" s="549"/>
      <c r="AQ12" s="549"/>
      <c r="AR12" s="549"/>
      <c r="AS12" s="549"/>
      <c r="AT12" s="549"/>
      <c r="AU12" s="549"/>
      <c r="AV12" s="549"/>
      <c r="AW12" s="549"/>
      <c r="AX12" s="549"/>
      <c r="AY12" s="549"/>
      <c r="AZ12" s="549"/>
      <c r="BA12" s="549"/>
      <c r="BB12" s="549"/>
      <c r="BC12" s="549"/>
      <c r="BD12" s="549"/>
      <c r="BE12" s="549"/>
      <c r="BN12" s="549"/>
      <c r="BO12" s="549"/>
      <c r="BP12" s="549"/>
      <c r="BQ12" s="549"/>
      <c r="BR12" s="549"/>
      <c r="BS12" s="549"/>
      <c r="BT12" s="549"/>
      <c r="BU12" s="549"/>
      <c r="BV12" s="549"/>
      <c r="BW12" s="549"/>
      <c r="BX12" s="549"/>
      <c r="BY12" s="549"/>
      <c r="BZ12" s="549"/>
      <c r="CA12" s="549"/>
      <c r="CB12" s="549"/>
      <c r="CF12" s="19" t="s">
        <v>230</v>
      </c>
      <c r="CG12" s="19">
        <f>主要!R16+IF(主要!B70="主职业",主要!O6,IF(主要!B70="兼职1",主要!O7,IF(主要!B70="兼职2",主要!O8,)))</f>
        <v>0</v>
      </c>
      <c r="CI12" s="35"/>
      <c r="CM12" s="20"/>
      <c r="CN12" s="51" t="s">
        <v>395</v>
      </c>
      <c r="CO12" s="52" t="s">
        <v>3448</v>
      </c>
      <c r="CP12" s="51" t="s">
        <v>277</v>
      </c>
      <c r="CQ12" s="51">
        <v>2</v>
      </c>
      <c r="CT12" s="337" t="s">
        <v>3752</v>
      </c>
    </row>
    <row r="13" spans="1:98" ht="16.5" customHeight="1">
      <c r="A13" s="19">
        <v>12</v>
      </c>
      <c r="B13" s="19" t="str">
        <f>IF(法术书!X14="","",法术书!X14)</f>
        <v/>
      </c>
      <c r="C13" s="19" t="str">
        <f>IFERROR(VLOOKUP(B13,法术大全!$A:$W,5,FALSE),"")</f>
        <v/>
      </c>
      <c r="D13" s="284" t="str">
        <f>IFERROR(VLOOKUP(B13,法术大全!$A:$W,4,FALSE),"")</f>
        <v/>
      </c>
      <c r="E13" s="19">
        <v>12</v>
      </c>
      <c r="F13" s="285" t="str">
        <f t="shared" si="0"/>
        <v/>
      </c>
      <c r="G13" s="242"/>
      <c r="H13" s="244" t="str">
        <f>IF(主要!Y77&lt;&gt;"",主要!Y77,"")</f>
        <v/>
      </c>
      <c r="I13" s="19">
        <f>IF(VLOOKUP(H13,法术大全!$A$3:$E$574,4,0)="√",1,0)</f>
        <v>0</v>
      </c>
      <c r="J13" s="19">
        <f>IF(VLOOKUP(H13,法术大全!$A$3:$E$574,5,0)="√",1,0)</f>
        <v>0</v>
      </c>
      <c r="K13" s="242" t="str" cm="1">
        <f t="array" ref="K13">IFERROR(INDEX($H$1:$H$59,SMALL(IF($H$2:$H$59&lt;&gt;"",ROW($H$2:$H$59),4^8),ROW(13:13)))&amp;"","")</f>
        <v/>
      </c>
      <c r="L13" s="19"/>
      <c r="AJ13" s="549"/>
      <c r="AK13" s="549"/>
      <c r="AL13" s="549"/>
      <c r="AM13" s="549"/>
      <c r="AN13" s="549"/>
      <c r="AO13" s="549"/>
      <c r="AP13" s="549"/>
      <c r="AQ13" s="549"/>
      <c r="AR13" s="549"/>
      <c r="AS13" s="549"/>
      <c r="AT13" s="549"/>
      <c r="AU13" s="549"/>
      <c r="AV13" s="549"/>
      <c r="AW13" s="549"/>
      <c r="AX13" s="549"/>
      <c r="AY13" s="549"/>
      <c r="AZ13" s="549"/>
      <c r="BA13" s="549"/>
      <c r="BB13" s="549"/>
      <c r="BC13" s="549"/>
      <c r="BD13" s="549"/>
      <c r="BE13" s="549"/>
      <c r="BN13" s="549"/>
      <c r="BO13" s="549"/>
      <c r="BP13" s="549"/>
      <c r="BQ13" s="549"/>
      <c r="BR13" s="549"/>
      <c r="BS13" s="549"/>
      <c r="BT13" s="549"/>
      <c r="BU13" s="549"/>
      <c r="BV13" s="549"/>
      <c r="BW13" s="549"/>
      <c r="BX13" s="549"/>
      <c r="BY13" s="549"/>
      <c r="BZ13" s="549"/>
      <c r="CA13" s="549"/>
      <c r="CB13" s="549"/>
      <c r="CF13" s="19" t="s">
        <v>4717</v>
      </c>
      <c r="CG13" s="19">
        <f>主要!R16+IF(主要!B70="主职业",INT(主要!O6/2),IF(主要!B70="兼职1",INT(主要!O7/2),IF(主要!B70="兼职2",INT(主要!O8/2),)))</f>
        <v>0</v>
      </c>
      <c r="CL13" s="17">
        <f>IF(ISBLANK(背包!B16),,INDEX(CO1:CQ149,MATCH(背包!B16&amp;"*",CN1:CN149,0),1))</f>
        <v>0</v>
      </c>
      <c r="CM13" s="20">
        <f>IF(ISBLANK(背包!B16),,INDEX(CN1:CQ149,MATCH(背包!B16&amp;"*",CN1:CN149,0),1))</f>
        <v>0</v>
      </c>
      <c r="CN13" s="51" t="s">
        <v>396</v>
      </c>
      <c r="CO13" s="52" t="s">
        <v>3448</v>
      </c>
      <c r="CP13" s="51" t="s">
        <v>214</v>
      </c>
      <c r="CQ13" s="51">
        <v>4</v>
      </c>
      <c r="CR13" s="17">
        <f>VLOOKUP(CM13,CN1:CQ147,4,0)</f>
        <v>0</v>
      </c>
      <c r="CT13" s="337" t="s">
        <v>6054</v>
      </c>
    </row>
    <row r="14" spans="1:98" ht="16.5" customHeight="1">
      <c r="A14" s="19">
        <v>13</v>
      </c>
      <c r="B14" s="19" t="str">
        <f>IF(法术书!X15="","",法术书!X15)</f>
        <v/>
      </c>
      <c r="C14" s="19" t="str">
        <f>IFERROR(VLOOKUP(B14,法术大全!$A:$W,5,FALSE),"")</f>
        <v/>
      </c>
      <c r="D14" s="284" t="str">
        <f>IFERROR(VLOOKUP(B14,法术大全!$A:$W,4,FALSE),"")</f>
        <v/>
      </c>
      <c r="E14" s="19">
        <v>13</v>
      </c>
      <c r="F14" s="285" t="str">
        <f t="shared" si="0"/>
        <v/>
      </c>
      <c r="G14" s="242"/>
      <c r="H14" s="244" t="str">
        <f>IF(主要!Y78&lt;&gt;"",主要!Y78,"")</f>
        <v/>
      </c>
      <c r="I14" s="19">
        <f>IF(VLOOKUP(H14,法术大全!$A$3:$E$574,4,0)="√",1,0)</f>
        <v>0</v>
      </c>
      <c r="J14" s="19">
        <f>IF(VLOOKUP(H14,法术大全!$A$3:$E$574,5,0)="√",1,0)</f>
        <v>0</v>
      </c>
      <c r="K14" s="242" t="str" cm="1">
        <f t="array" ref="K14">IFERROR(INDEX($H$1:$H$59,SMALL(IF($H$2:$H$59&lt;&gt;"",ROW($H$2:$H$59),4^8),ROW(14:14)))&amp;"","")</f>
        <v/>
      </c>
      <c r="L14" s="19"/>
      <c r="M14" s="457" t="s">
        <v>4013</v>
      </c>
      <c r="N14" s="458" t="str">
        <f>IF(主要!E6="","",主要!E6)</f>
        <v/>
      </c>
      <c r="O14" s="357" t="s">
        <v>6066</v>
      </c>
      <c r="P14" s="357" t="str">
        <f>IFERROR(VLOOKUP(主要!B70,$M$2:$AG$12,
IF(VLOOKUP(主要!$B$70,$M$2:$AH$12,22,FALSE)=0,"",VLOOKUP(主要!$B$70,$M$2:$AH$12,22,FALSE)+1),
FALSE),"")</f>
        <v/>
      </c>
      <c r="BN14" s="549"/>
      <c r="BO14" s="549"/>
      <c r="BP14" s="549"/>
      <c r="BQ14" s="549"/>
      <c r="BR14" s="549"/>
      <c r="BS14" s="549"/>
      <c r="BT14" s="549"/>
      <c r="BU14" s="549"/>
      <c r="BV14" s="549"/>
      <c r="BW14" s="549"/>
      <c r="BX14" s="549"/>
      <c r="BY14" s="549"/>
      <c r="BZ14" s="549"/>
      <c r="CA14" s="549"/>
      <c r="CB14" s="549"/>
      <c r="CG14" s="19"/>
      <c r="CI14" s="19" t="s">
        <v>67</v>
      </c>
      <c r="CL14" s="17">
        <f>IF(ISBLANK(背包!B17),,INDEX(CO1:CQ149,MATCH(背包!B17&amp;"*",CN1:CN149,0),1))</f>
        <v>0</v>
      </c>
      <c r="CM14" s="20">
        <f>IF(ISBLANK(背包!B17),,INDEX(CN1:CQ149,MATCH(背包!B17&amp;"*",CN1:CN149,0),1))</f>
        <v>0</v>
      </c>
      <c r="CN14" s="51" t="s">
        <v>397</v>
      </c>
      <c r="CO14" s="52" t="s">
        <v>3448</v>
      </c>
      <c r="CP14" s="51" t="s">
        <v>277</v>
      </c>
      <c r="CQ14" s="51">
        <v>1</v>
      </c>
      <c r="CR14" s="17">
        <f>VLOOKUP(CM14,CN1:CQ147,4,0)</f>
        <v>0</v>
      </c>
      <c r="CT14" s="337" t="s">
        <v>3753</v>
      </c>
    </row>
    <row r="15" spans="1:98" ht="16.5" customHeight="1">
      <c r="A15" s="19">
        <v>14</v>
      </c>
      <c r="B15" s="19" t="str">
        <f>IF(法术书!X16="","",法术书!X16)</f>
        <v/>
      </c>
      <c r="C15" s="19" t="str">
        <f>IFERROR(VLOOKUP(B15,法术大全!$A:$W,5,FALSE),"")</f>
        <v/>
      </c>
      <c r="D15" s="284" t="str">
        <f>IFERROR(VLOOKUP(B15,法术大全!$A:$W,4,FALSE),"")</f>
        <v/>
      </c>
      <c r="E15" s="19">
        <v>14</v>
      </c>
      <c r="F15" s="285" t="str">
        <f t="shared" si="0"/>
        <v/>
      </c>
      <c r="G15" s="242"/>
      <c r="H15" s="244" t="str">
        <f>IF(主要!Y79&lt;&gt;"",主要!Y79,"")</f>
        <v/>
      </c>
      <c r="I15" s="19">
        <f>IF(VLOOKUP(H15,法术大全!$A$3:$E$574,4,0)="√",1,0)</f>
        <v>0</v>
      </c>
      <c r="J15" s="19">
        <f>IF(VLOOKUP(H15,法术大全!$A$3:$E$574,5,0)="√",1,0)</f>
        <v>0</v>
      </c>
      <c r="K15" s="242" t="str" cm="1">
        <f t="array" ref="K15">IFERROR(INDEX($H$1:$H$59,SMALL(IF($H$2:$H$59&lt;&gt;"",ROW($H$2:$H$59),4^8),ROW(15:15)))&amp;"","")</f>
        <v/>
      </c>
      <c r="L15" s="19"/>
      <c r="M15" s="361" t="s">
        <v>6006</v>
      </c>
      <c r="N15" s="360" t="str">
        <f>IF(主要!E7="","",主要!E7)</f>
        <v/>
      </c>
      <c r="BN15" s="549"/>
      <c r="BO15" s="549"/>
      <c r="BP15" s="549"/>
      <c r="BQ15" s="549"/>
      <c r="BR15" s="549"/>
      <c r="BS15" s="549"/>
      <c r="BT15" s="549"/>
      <c r="BU15" s="549"/>
      <c r="BV15" s="549"/>
      <c r="BW15" s="549"/>
      <c r="BX15" s="549"/>
      <c r="BY15" s="549"/>
      <c r="BZ15" s="549"/>
      <c r="CA15" s="549"/>
      <c r="CB15" s="549"/>
      <c r="CD15" s="19"/>
      <c r="CF15" s="19"/>
      <c r="CG15" s="19"/>
      <c r="CI15" s="19" t="s">
        <v>236</v>
      </c>
      <c r="CL15" s="17">
        <f>IF(ISBLANK(背包!B18),,INDEX(CO1:CQ149,MATCH(背包!B18&amp;"*",CN1:CN149,0),1))</f>
        <v>0</v>
      </c>
      <c r="CM15" s="20">
        <f>IF(ISBLANK(背包!B18),,INDEX(CN1:CQ149,MATCH(背包!B18&amp;"*",CN1:CN149,0),1))</f>
        <v>0</v>
      </c>
      <c r="CN15" s="51" t="s">
        <v>398</v>
      </c>
      <c r="CO15" s="54" t="s">
        <v>3449</v>
      </c>
      <c r="CP15" s="51" t="s">
        <v>202</v>
      </c>
      <c r="CQ15" s="51">
        <v>5</v>
      </c>
      <c r="CR15" s="17">
        <f>VLOOKUP(CM15,CN1:CQ147,4,0)</f>
        <v>0</v>
      </c>
      <c r="CT15" s="337" t="s">
        <v>3754</v>
      </c>
    </row>
    <row r="16" spans="1:98" ht="16.5" customHeight="1">
      <c r="A16" s="19">
        <v>15</v>
      </c>
      <c r="B16" s="19" t="str">
        <f>IF(法术书!X17="","",法术书!X17)</f>
        <v/>
      </c>
      <c r="C16" s="19" t="str">
        <f>IFERROR(VLOOKUP(B16,法术大全!$A:$W,5,FALSE),"")</f>
        <v/>
      </c>
      <c r="D16" s="284" t="str">
        <f>IFERROR(VLOOKUP(B16,法术大全!$A:$W,4,FALSE),"")</f>
        <v/>
      </c>
      <c r="E16" s="19">
        <v>15</v>
      </c>
      <c r="F16" s="285" t="str">
        <f t="shared" si="0"/>
        <v/>
      </c>
      <c r="G16" s="242"/>
      <c r="H16" s="244" t="str">
        <f>IF(主要!Y80&lt;&gt;"",主要!Y80,"")</f>
        <v/>
      </c>
      <c r="I16" s="19">
        <f>IF(VLOOKUP(H16,法术大全!$A$3:$E$574,4,0)="√",1,0)</f>
        <v>0</v>
      </c>
      <c r="J16" s="19">
        <f>IF(VLOOKUP(H16,法术大全!$A$3:$E$574,5,0)="√",1,0)</f>
        <v>0</v>
      </c>
      <c r="K16" s="242" t="str" cm="1">
        <f t="array" ref="K16">IFERROR(INDEX($H$1:$H$59,SMALL(IF($H$2:$H$59&lt;&gt;"",ROW($H$2:$H$59),4^8),ROW(16:16)))&amp;"","")</f>
        <v/>
      </c>
      <c r="L16" s="19"/>
      <c r="M16" s="361" t="s">
        <v>4016</v>
      </c>
      <c r="N16" s="360" t="str">
        <f>IF(主要!E8="","",主要!E8)</f>
        <v/>
      </c>
      <c r="BN16" s="549"/>
      <c r="BO16" s="549"/>
      <c r="BP16" s="549"/>
      <c r="BQ16" s="549"/>
      <c r="BR16" s="549"/>
      <c r="BS16" s="549"/>
      <c r="BT16" s="549"/>
      <c r="BU16" s="549"/>
      <c r="BV16" s="549"/>
      <c r="BW16" s="549"/>
      <c r="BX16" s="549"/>
      <c r="BY16" s="549"/>
      <c r="BZ16" s="549"/>
      <c r="CA16" s="549"/>
      <c r="CB16" s="549"/>
      <c r="CD16" s="19"/>
      <c r="CF16" s="19"/>
      <c r="CG16" s="19"/>
      <c r="CI16" s="19" t="s">
        <v>241</v>
      </c>
      <c r="CL16" s="17">
        <f>IF(ISBLANK(背包!B19),,INDEX(CO1:CQ149,MATCH(背包!B19&amp;"*",CN1:CN149,0),1))</f>
        <v>0</v>
      </c>
      <c r="CM16" s="20">
        <f>IF(ISBLANK(背包!B19),,INDEX(CN1:CQ149,MATCH(背包!B19&amp;"*",CN1:CN149,0),1))</f>
        <v>0</v>
      </c>
      <c r="CN16" s="51" t="s">
        <v>3450</v>
      </c>
      <c r="CO16" s="52" t="s">
        <v>3451</v>
      </c>
      <c r="CP16" s="51" t="s">
        <v>240</v>
      </c>
      <c r="CQ16" s="51">
        <v>2</v>
      </c>
      <c r="CR16" s="17">
        <f>VLOOKUP(CM16,CN1:CQ147,4,0)</f>
        <v>0</v>
      </c>
      <c r="CT16" s="337" t="s">
        <v>3756</v>
      </c>
    </row>
    <row r="17" spans="1:98" ht="16.5" customHeight="1">
      <c r="A17" s="19">
        <v>16</v>
      </c>
      <c r="B17" s="19" t="str">
        <f>IF(法术书!X18="","",法术书!X18)</f>
        <v/>
      </c>
      <c r="C17" s="19" t="str">
        <f>IFERROR(VLOOKUP(B17,法术大全!$A:$W,5,FALSE),"")</f>
        <v/>
      </c>
      <c r="D17" s="284" t="str">
        <f>IFERROR(VLOOKUP(B17,法术大全!$A:$W,4,FALSE),"")</f>
        <v/>
      </c>
      <c r="E17" s="19">
        <v>16</v>
      </c>
      <c r="F17" s="285" t="str">
        <f t="shared" si="0"/>
        <v/>
      </c>
      <c r="G17" s="242"/>
      <c r="H17" s="244" t="str">
        <f>IF(主要!Q81&lt;&gt;"",主要!Q81,"")</f>
        <v/>
      </c>
      <c r="I17" s="19">
        <f>IF(VLOOKUP(H17,法术大全!$A$3:$E$574,4,0)="√",1,0)</f>
        <v>0</v>
      </c>
      <c r="J17" s="19">
        <f>IF(VLOOKUP(H17,法术大全!$A$3:$E$574,5,0)="√",1,0)</f>
        <v>0</v>
      </c>
      <c r="K17" s="242" t="str" cm="1">
        <f t="array" ref="K17">IFERROR(INDEX($H$1:$H$59,SMALL(IF($H$2:$H$59&lt;&gt;"",ROW($H$2:$H$59),4^8),ROW(17:17)))&amp;"","")</f>
        <v/>
      </c>
      <c r="L17" s="19"/>
      <c r="M17" s="362" t="b">
        <f>IFERROR(IF(主要!B70="主职业",VLOOKUP(N14,M1:AG9,主要!O6+1,IF(主要!B70="兼职1",VLOOKUP(N15,M1:AG9,主要!O7+1,IF(主要!B70="兼职2",VLOOKUP(N16,M1:AG9,主要!O8+1,0)))))),"")</f>
        <v>0</v>
      </c>
      <c r="N17" s="353"/>
      <c r="CD17" s="19"/>
      <c r="CI17" s="19" t="s">
        <v>182</v>
      </c>
      <c r="CL17" s="17">
        <f>IF(ISBLANK(背包!B20),,INDEX(CO1:CQ149,MATCH(背包!B20&amp;"*",CN1:CN149,0),1))</f>
        <v>0</v>
      </c>
      <c r="CM17" s="20">
        <f>IF(ISBLANK(背包!B20),,INDEX(CN1:CQ149,MATCH(背包!B20&amp;"*",CN1:CN149,0),1))</f>
        <v>0</v>
      </c>
      <c r="CN17" s="53" t="s">
        <v>3452</v>
      </c>
      <c r="CO17" s="54" t="s">
        <v>3453</v>
      </c>
      <c r="CP17" s="51" t="s">
        <v>202</v>
      </c>
      <c r="CQ17" s="51">
        <v>70</v>
      </c>
      <c r="CR17" s="17">
        <f>VLOOKUP(CM17,CN1:CQ147,4,0)</f>
        <v>0</v>
      </c>
      <c r="CT17" s="337" t="s">
        <v>554</v>
      </c>
    </row>
    <row r="18" spans="1:98" ht="16.5" customHeight="1">
      <c r="A18" s="19">
        <v>17</v>
      </c>
      <c r="B18" s="19" t="str">
        <f>IF(法术书!X19="","",法术书!X19)</f>
        <v/>
      </c>
      <c r="C18" s="19" t="str">
        <f>IFERROR(VLOOKUP(B18,法术大全!$A:$W,5,FALSE),"")</f>
        <v/>
      </c>
      <c r="D18" s="284" t="str">
        <f>IFERROR(VLOOKUP(B18,法术大全!$A:$W,4,FALSE),"")</f>
        <v/>
      </c>
      <c r="E18" s="19">
        <v>17</v>
      </c>
      <c r="F18" s="285" t="str">
        <f t="shared" si="0"/>
        <v/>
      </c>
      <c r="G18" s="242"/>
      <c r="H18" s="244" t="str">
        <f>IF(主要!Y81&lt;&gt;"",主要!Y81,"")</f>
        <v/>
      </c>
      <c r="I18" s="19">
        <f>IF(VLOOKUP(H18,法术大全!$A$3:$E$574,4,0)="√",1,0)</f>
        <v>0</v>
      </c>
      <c r="J18" s="19">
        <f>IF(VLOOKUP(H18,法术大全!$A$3:$E$574,5,0)="√",1,0)</f>
        <v>0</v>
      </c>
      <c r="K18" s="242" t="str" cm="1">
        <f t="array" ref="K18">IFERROR(INDEX($H$1:$H$59,SMALL(IF($H$2:$H$59&lt;&gt;"",ROW($H$2:$H$59),4^8),ROW(18:18)))&amp;"","")</f>
        <v/>
      </c>
      <c r="L18" s="19"/>
      <c r="AJ18" s="548" t="s">
        <v>6075</v>
      </c>
      <c r="AK18" s="534"/>
      <c r="AL18" s="534"/>
      <c r="AM18" s="534"/>
      <c r="AN18" s="534"/>
      <c r="AO18" s="534"/>
      <c r="AP18" s="534"/>
      <c r="AQ18" s="534"/>
      <c r="AR18" s="534"/>
      <c r="AS18" s="534"/>
      <c r="AT18" s="534"/>
      <c r="AU18" s="534"/>
      <c r="AV18" s="534"/>
      <c r="AW18" s="534"/>
      <c r="AX18" s="534"/>
      <c r="AY18" s="534"/>
      <c r="AZ18" s="534"/>
      <c r="BA18" s="534"/>
      <c r="BB18" s="534"/>
      <c r="BC18" s="534"/>
      <c r="BD18" s="534"/>
      <c r="BE18" s="535"/>
      <c r="CD18" s="19"/>
      <c r="CF18" s="769" t="s">
        <v>21</v>
      </c>
      <c r="CG18" s="769"/>
      <c r="CI18" s="19" t="s">
        <v>254</v>
      </c>
      <c r="CL18" s="17">
        <f>IF(ISBLANK(背包!B21),,INDEX(CO1:CQ149,MATCH(背包!B21&amp;"*",CN1:CN149,0),1))</f>
        <v>0</v>
      </c>
      <c r="CM18" s="20">
        <f>IF(ISBLANK(背包!B21),,INDEX(CN1:CQ149,MATCH(背包!B21&amp;"*",CN1:CN149,0),1))</f>
        <v>0</v>
      </c>
      <c r="CN18" s="51" t="s">
        <v>399</v>
      </c>
      <c r="CO18" s="54" t="s">
        <v>3454</v>
      </c>
      <c r="CP18" s="51" t="s">
        <v>3455</v>
      </c>
      <c r="CQ18" s="51">
        <v>2</v>
      </c>
      <c r="CR18" s="17">
        <f>VLOOKUP(CM18,CN1:CQ147,4,0)</f>
        <v>0</v>
      </c>
      <c r="CT18" s="337" t="s">
        <v>3757</v>
      </c>
    </row>
    <row r="19" spans="1:98" ht="16.5" customHeight="1">
      <c r="A19" s="19">
        <v>18</v>
      </c>
      <c r="B19" s="19" t="str">
        <f>IF(法术书!X20="","",法术书!X20)</f>
        <v/>
      </c>
      <c r="C19" s="19" t="str">
        <f>IFERROR(VLOOKUP(B19,法术大全!$A:$W,5,FALSE),"")</f>
        <v/>
      </c>
      <c r="D19" s="284" t="str">
        <f>IFERROR(VLOOKUP(B19,法术大全!$A:$W,4,FALSE),"")</f>
        <v/>
      </c>
      <c r="E19" s="19">
        <v>18</v>
      </c>
      <c r="F19" s="285" t="str">
        <f t="shared" si="0"/>
        <v/>
      </c>
      <c r="G19" s="242"/>
      <c r="H19" s="244" t="str">
        <f>IF(主要!AG81&lt;&gt;"",主要!AG81,"")</f>
        <v/>
      </c>
      <c r="I19" s="19">
        <f>IF(VLOOKUP(H19,法术大全!$A$3:$E$574,4,0)="√",1,0)</f>
        <v>0</v>
      </c>
      <c r="J19" s="19">
        <f>IF(VLOOKUP(H19,法术大全!$A$3:$E$574,5,0)="√",1,0)</f>
        <v>0</v>
      </c>
      <c r="K19" s="242" t="str" cm="1">
        <f t="array" ref="K19">IFERROR(INDEX($H$1:$H$59,SMALL(IF($H$2:$H$59&lt;&gt;"",ROW($H$2:$H$59),4^8),ROW(19:19)))&amp;"","")</f>
        <v/>
      </c>
      <c r="L19" s="19"/>
      <c r="AJ19" s="506" t="s">
        <v>6076</v>
      </c>
      <c r="AK19" s="506"/>
      <c r="AL19" s="506"/>
      <c r="AM19" s="432"/>
      <c r="AN19" s="434"/>
      <c r="AO19" s="440"/>
      <c r="AP19" s="481" t="s">
        <v>6654</v>
      </c>
      <c r="AQ19" s="481"/>
      <c r="AR19" s="481"/>
      <c r="AS19" s="493" t="s">
        <v>6464</v>
      </c>
      <c r="AT19" s="493"/>
      <c r="AU19" s="480" t="s">
        <v>6472</v>
      </c>
      <c r="AV19" s="480"/>
      <c r="AW19" s="480"/>
      <c r="AX19" s="480"/>
      <c r="AY19" s="480"/>
      <c r="AZ19" s="480"/>
      <c r="BA19" s="480"/>
      <c r="BB19" s="480"/>
      <c r="BC19" s="480"/>
      <c r="BD19" s="480"/>
      <c r="BE19" s="480"/>
      <c r="BL19" s="481" t="s">
        <v>78</v>
      </c>
      <c r="BM19" s="481"/>
      <c r="BP19" s="481" t="s">
        <v>78</v>
      </c>
      <c r="BQ19" s="481"/>
      <c r="BT19" s="481" t="s">
        <v>78</v>
      </c>
      <c r="BU19" s="481"/>
      <c r="BY19" s="481" t="s">
        <v>78</v>
      </c>
      <c r="BZ19" s="481"/>
      <c r="CF19" s="21" t="s">
        <v>262</v>
      </c>
      <c r="CG19" s="21" t="s">
        <v>10</v>
      </c>
      <c r="CI19" s="19" t="s">
        <v>263</v>
      </c>
      <c r="CL19" s="17">
        <f>IF(ISBLANK(背包!B22),,INDEX(CO1:CQ149,MATCH(背包!B22&amp;"*",CN1:CN149,0),1))</f>
        <v>0</v>
      </c>
      <c r="CM19" s="20">
        <f>IF(ISBLANK(背包!B22),,INDEX(CN1:CQ149,MATCH(背包!B22&amp;"*",CN1:CN149,0),1))</f>
        <v>0</v>
      </c>
      <c r="CN19" s="51" t="s">
        <v>400</v>
      </c>
      <c r="CO19" s="52" t="s">
        <v>81</v>
      </c>
      <c r="CP19" s="51" t="s">
        <v>240</v>
      </c>
      <c r="CQ19" s="51">
        <v>7</v>
      </c>
      <c r="CR19" s="17">
        <f>VLOOKUP(CM19,CN1:CQ147,4,0)</f>
        <v>0</v>
      </c>
      <c r="CT19" s="337" t="s">
        <v>3758</v>
      </c>
    </row>
    <row r="20" spans="1:98" ht="16.5" customHeight="1">
      <c r="A20" s="19">
        <v>19</v>
      </c>
      <c r="B20" s="19" t="str">
        <f>IF(法术书!X21="","",法术书!X21)</f>
        <v/>
      </c>
      <c r="C20" s="19" t="str">
        <f>IFERROR(VLOOKUP(B20,法术大全!$A:$W,5,FALSE),"")</f>
        <v/>
      </c>
      <c r="D20" s="284" t="str">
        <f>IFERROR(VLOOKUP(B20,法术大全!$A:$W,4,FALSE),"")</f>
        <v/>
      </c>
      <c r="E20" s="19">
        <v>19</v>
      </c>
      <c r="F20" s="285" t="str">
        <f t="shared" si="0"/>
        <v/>
      </c>
      <c r="G20" s="242"/>
      <c r="H20" s="244" t="str">
        <f>IF(主要!AO81&lt;&gt;"",主要!AO81,"")</f>
        <v/>
      </c>
      <c r="I20" s="19">
        <f>IF(VLOOKUP(H20,法术大全!$A$3:$E$574,4,0)="√",1,0)</f>
        <v>0</v>
      </c>
      <c r="J20" s="19">
        <f>IF(VLOOKUP(H20,法术大全!$A$3:$E$574,5,0)="√",1,0)</f>
        <v>0</v>
      </c>
      <c r="K20" s="242" t="str" cm="1">
        <f t="array" ref="K20">IFERROR(INDEX($H$1:$H$59,SMALL(IF($H$2:$H$59&lt;&gt;"",ROW($H$2:$H$59),4^8),ROW(20:20)))&amp;"","")</f>
        <v/>
      </c>
      <c r="L20" s="19"/>
      <c r="AJ20" s="511"/>
      <c r="AK20" s="512"/>
      <c r="AL20" s="512"/>
      <c r="AM20" s="512"/>
      <c r="AN20" s="513"/>
      <c r="AO20" s="433" t="s">
        <v>49</v>
      </c>
      <c r="AP20" s="660"/>
      <c r="AQ20" s="661"/>
      <c r="AR20" s="484"/>
      <c r="AS20" s="546"/>
      <c r="AT20" s="672"/>
      <c r="AU20" s="632"/>
      <c r="AV20" s="632"/>
      <c r="AW20" s="632"/>
      <c r="AX20" s="632"/>
      <c r="AY20" s="632"/>
      <c r="AZ20" s="632"/>
      <c r="BA20" s="632"/>
      <c r="BB20" s="632"/>
      <c r="BC20" s="632"/>
      <c r="BD20" s="632"/>
      <c r="BE20" s="633"/>
      <c r="BL20" s="766"/>
      <c r="BM20" s="766"/>
      <c r="BP20" s="766" t="str">
        <f>IF(主要!AS40="否","",6)</f>
        <v/>
      </c>
      <c r="BQ20" s="766"/>
      <c r="BT20" s="766"/>
      <c r="BU20" s="766"/>
      <c r="BY20" s="766"/>
      <c r="BZ20" s="766"/>
      <c r="CF20" s="22">
        <v>0</v>
      </c>
      <c r="CG20" s="22">
        <v>1</v>
      </c>
      <c r="CI20" s="19" t="s">
        <v>268</v>
      </c>
      <c r="CL20" s="17">
        <f>IF(ISBLANK(背包!B23),,INDEX(CO1:CQ149,MATCH(背包!B23&amp;"*",CN1:CN149,0),1))</f>
        <v>0</v>
      </c>
      <c r="CM20" s="20">
        <f>IF(ISBLANK(背包!B23),,INDEX(CN1:CQ149,MATCH(背包!B23&amp;"*",CN1:CN149,0),1))</f>
        <v>0</v>
      </c>
      <c r="CN20" s="51" t="s">
        <v>401</v>
      </c>
      <c r="CO20" s="52" t="s">
        <v>81</v>
      </c>
      <c r="CP20" s="51" t="s">
        <v>240</v>
      </c>
      <c r="CQ20" s="51">
        <v>0</v>
      </c>
      <c r="CR20" s="17">
        <f>VLOOKUP(CM20,CN1:CQ147,4,0)</f>
        <v>0</v>
      </c>
      <c r="CT20" s="337" t="s">
        <v>3759</v>
      </c>
    </row>
    <row r="21" spans="1:98" ht="16.5" customHeight="1">
      <c r="A21" s="19">
        <v>20</v>
      </c>
      <c r="B21" s="19" t="str">
        <f>IF(法术书!X22="","",法术书!X22)</f>
        <v/>
      </c>
      <c r="C21" s="19" t="str">
        <f>IFERROR(VLOOKUP(B21,法术大全!$A:$W,5,FALSE),"")</f>
        <v/>
      </c>
      <c r="D21" s="284" t="str">
        <f>IFERROR(VLOOKUP(B21,法术大全!$A:$W,4,FALSE),"")</f>
        <v/>
      </c>
      <c r="E21" s="19">
        <v>20</v>
      </c>
      <c r="F21" s="285" t="str">
        <f t="shared" si="0"/>
        <v/>
      </c>
      <c r="G21" s="242"/>
      <c r="H21" s="244" t="str">
        <f>IF(主要!Q73&lt;&gt;"",主要!Q73,"")</f>
        <v/>
      </c>
      <c r="I21" s="19">
        <f>IF(VLOOKUP(H21,法术大全!$A$3:$E$574,4,0)="√",1,0)</f>
        <v>0</v>
      </c>
      <c r="J21" s="19">
        <f>IF(VLOOKUP(H21,法术大全!$A$3:$E$574,5,0)="√",1,0)</f>
        <v>0</v>
      </c>
      <c r="K21" s="242" t="str" cm="1">
        <f t="array" ref="K21">IFERROR(INDEX($H$1:$H$59,SMALL(IF($H$2:$H$59&lt;&gt;"",ROW($H$2:$H$59),4^8),ROW(21:21)))&amp;"","")</f>
        <v/>
      </c>
      <c r="L21" s="19"/>
      <c r="N21" s="358" t="s">
        <v>135</v>
      </c>
      <c r="O21" s="358" t="s">
        <v>2425</v>
      </c>
      <c r="P21" s="358" t="s">
        <v>5971</v>
      </c>
      <c r="Q21" s="358" t="s">
        <v>2467</v>
      </c>
      <c r="R21" s="358" t="s">
        <v>2465</v>
      </c>
      <c r="W21" s="1" t="s">
        <v>111</v>
      </c>
      <c r="X21" s="1" t="s">
        <v>112</v>
      </c>
      <c r="Y21" s="1" t="s">
        <v>2942</v>
      </c>
      <c r="Z21" s="1" t="s">
        <v>6029</v>
      </c>
      <c r="AJ21" s="650"/>
      <c r="AK21" s="651"/>
      <c r="AL21" s="651"/>
      <c r="AM21" s="651"/>
      <c r="AN21" s="652"/>
      <c r="AO21" s="433" t="s">
        <v>49</v>
      </c>
      <c r="AP21" s="647"/>
      <c r="AQ21" s="648"/>
      <c r="AR21" s="488"/>
      <c r="AS21" s="609"/>
      <c r="AT21" s="674"/>
      <c r="AU21" s="629"/>
      <c r="AV21" s="716"/>
      <c r="AW21" s="716"/>
      <c r="AX21" s="716"/>
      <c r="AY21" s="716"/>
      <c r="AZ21" s="716"/>
      <c r="BA21" s="716"/>
      <c r="BB21" s="716"/>
      <c r="BC21" s="716"/>
      <c r="BD21" s="716"/>
      <c r="BE21" s="717"/>
      <c r="BT21" s="768"/>
      <c r="BU21" s="768"/>
      <c r="BY21" s="768"/>
      <c r="BZ21" s="768"/>
      <c r="CF21" s="22">
        <v>300</v>
      </c>
      <c r="CG21" s="22">
        <v>2</v>
      </c>
      <c r="CL21" s="17">
        <f>IF(ISBLANK(背包!B24),,INDEX(CO1:CQ149,MATCH(背包!B24&amp;"*",CN1:CN149,0),1))</f>
        <v>0</v>
      </c>
      <c r="CM21" s="20">
        <f>IF(ISBLANK(背包!B24),,INDEX(CN1:CQ149,MATCH(背包!B24&amp;"*",CN1:CN149,0),1))</f>
        <v>0</v>
      </c>
      <c r="CN21" s="53" t="s">
        <v>4718</v>
      </c>
      <c r="CO21" s="52" t="s">
        <v>81</v>
      </c>
      <c r="CP21" s="51" t="s">
        <v>3456</v>
      </c>
      <c r="CQ21" s="51">
        <v>3</v>
      </c>
      <c r="CR21" s="17">
        <f>VLOOKUP(CM21,CN1:CQ147,4,0)</f>
        <v>0</v>
      </c>
      <c r="CT21" s="337" t="s">
        <v>600</v>
      </c>
    </row>
    <row r="22" spans="1:98" ht="16.5" customHeight="1" thickBot="1">
      <c r="A22" s="19">
        <v>21</v>
      </c>
      <c r="B22" s="19" t="str">
        <f>IF(法术书!X23="","",法术书!X23)</f>
        <v/>
      </c>
      <c r="C22" s="19" t="str">
        <f>IFERROR(VLOOKUP(B22,法术大全!$A:$W,5,FALSE),"")</f>
        <v/>
      </c>
      <c r="D22" s="284" t="str">
        <f>IFERROR(VLOOKUP(B22,法术大全!$A:$W,4,FALSE),"")</f>
        <v/>
      </c>
      <c r="E22" s="19">
        <v>21</v>
      </c>
      <c r="F22" s="285" t="str">
        <f t="shared" si="0"/>
        <v/>
      </c>
      <c r="G22" s="242"/>
      <c r="H22" s="18" t="str">
        <f>IF(主要!Y66&lt;&gt;"",主要!Y66,"")</f>
        <v/>
      </c>
      <c r="I22" s="19">
        <f>IF(VLOOKUP(H22,法术大全!$A$3:$E$574,4,0)="√",1,0)</f>
        <v>0</v>
      </c>
      <c r="J22" s="19">
        <f>IF(VLOOKUP(H22,法术大全!$A$3:$E$574,5,0)="√",1,0)</f>
        <v>0</v>
      </c>
      <c r="K22" s="242" t="str" cm="1">
        <f t="array" ref="K22">IFERROR(INDEX($H$1:$H$59,SMALL(IF($H$2:$H$59&lt;&gt;"",ROW($H$2:$H$59),4^8),ROW(22:22)))&amp;"","")</f>
        <v/>
      </c>
      <c r="L22" s="19"/>
      <c r="N22" s="358">
        <v>1</v>
      </c>
      <c r="O22" s="358" t="s">
        <v>2429</v>
      </c>
      <c r="P22" s="358" t="s">
        <v>6007</v>
      </c>
      <c r="Q22" s="358" t="s">
        <v>2475</v>
      </c>
      <c r="R22" s="358" t="s">
        <v>2442</v>
      </c>
      <c r="W22" s="1">
        <f>SUM(背包!S5*背包!V5)</f>
        <v>0</v>
      </c>
      <c r="X22" s="1">
        <f>SUM(背包!AP5*背包!AS5)</f>
        <v>0</v>
      </c>
      <c r="Y22" s="1">
        <f>SUM(背包!S29*背包!V29)</f>
        <v>0</v>
      </c>
      <c r="Z22" s="1">
        <f>SUM(背包!AP29*背包!AS29)</f>
        <v>0</v>
      </c>
      <c r="AJ22" s="511"/>
      <c r="AK22" s="512"/>
      <c r="AL22" s="512"/>
      <c r="AM22" s="512"/>
      <c r="AN22" s="513"/>
      <c r="AO22" s="433" t="s">
        <v>49</v>
      </c>
      <c r="AP22" s="660"/>
      <c r="AQ22" s="661"/>
      <c r="AR22" s="484"/>
      <c r="AS22" s="546"/>
      <c r="AT22" s="672"/>
      <c r="AU22" s="632"/>
      <c r="AV22" s="632"/>
      <c r="AW22" s="632"/>
      <c r="AX22" s="632"/>
      <c r="AY22" s="632"/>
      <c r="AZ22" s="632"/>
      <c r="BA22" s="632"/>
      <c r="BB22" s="632"/>
      <c r="BC22" s="632"/>
      <c r="BD22" s="632"/>
      <c r="BE22" s="633"/>
      <c r="BT22" s="765"/>
      <c r="BU22" s="765"/>
      <c r="BY22" s="766"/>
      <c r="BZ22" s="766"/>
      <c r="CF22" s="22">
        <v>900</v>
      </c>
      <c r="CG22" s="22">
        <v>3</v>
      </c>
      <c r="CI22" s="19" t="s">
        <v>278</v>
      </c>
      <c r="CL22" s="17">
        <f>IF(ISBLANK(背包!B25),,INDEX(CO1:CQ149,MATCH(背包!B25&amp;"*",CN1:CN149,0),1))</f>
        <v>0</v>
      </c>
      <c r="CM22" s="20">
        <f>IF(ISBLANK(背包!B25),,INDEX(CN1:CQ149,MATCH(背包!B25&amp;"*",CN1:CN149,0),1))</f>
        <v>0</v>
      </c>
      <c r="CN22" s="51" t="s">
        <v>402</v>
      </c>
      <c r="CO22" s="52" t="s">
        <v>3457</v>
      </c>
      <c r="CP22" s="51" t="s">
        <v>214</v>
      </c>
      <c r="CQ22" s="51">
        <v>5</v>
      </c>
      <c r="CR22" s="17">
        <f>VLOOKUP(CM22,CN1:CQ147,4,0)</f>
        <v>0</v>
      </c>
      <c r="CT22" s="337" t="s">
        <v>3760</v>
      </c>
    </row>
    <row r="23" spans="1:98" ht="16.5" customHeight="1">
      <c r="A23" s="19">
        <v>22</v>
      </c>
      <c r="B23" s="19" t="str">
        <f>IF(法术书!X24="","",法术书!X24)</f>
        <v/>
      </c>
      <c r="C23" s="19" t="str">
        <f>IFERROR(VLOOKUP(B23,法术大全!$A:$W,5,FALSE),"")</f>
        <v/>
      </c>
      <c r="D23" s="284" t="str">
        <f>IFERROR(VLOOKUP(B23,法术大全!$A:$W,4,FALSE),"")</f>
        <v/>
      </c>
      <c r="E23" s="19">
        <v>22</v>
      </c>
      <c r="F23" s="285" t="str">
        <f t="shared" si="0"/>
        <v/>
      </c>
      <c r="G23" s="242"/>
      <c r="H23" s="18" t="str">
        <f>IF(主要!Y67&lt;&gt;"",主要!Y67,"")</f>
        <v/>
      </c>
      <c r="I23" s="19">
        <f>IF(VLOOKUP(H23,法术大全!$A$3:$E$574,4,0)="√",1,0)</f>
        <v>0</v>
      </c>
      <c r="J23" s="19">
        <f>IF(VLOOKUP(H23,法术大全!$A$3:$E$574,5,0)="√",1,0)</f>
        <v>0</v>
      </c>
      <c r="K23" s="242" t="str" cm="1">
        <f t="array" ref="K23">IFERROR(INDEX($H$1:$H$59,SMALL(IF($H$2:$H$59&lt;&gt;"",ROW($H$2:$H$59),4^8),ROW(23:23)))&amp;"","")</f>
        <v/>
      </c>
      <c r="L23" s="19"/>
      <c r="N23" s="358">
        <v>2</v>
      </c>
      <c r="O23" s="358" t="s">
        <v>2433</v>
      </c>
      <c r="P23" s="358" t="s">
        <v>2438</v>
      </c>
      <c r="Q23" s="358" t="s">
        <v>2441</v>
      </c>
      <c r="R23" s="358" t="s">
        <v>2438</v>
      </c>
      <c r="W23" s="1">
        <f>SUM(背包!S6*背包!V6)</f>
        <v>0</v>
      </c>
      <c r="X23" s="1">
        <f>SUM(背包!AP6*背包!AS6)</f>
        <v>0</v>
      </c>
      <c r="Y23" s="1">
        <f>SUM(背包!S30*背包!V30)</f>
        <v>0</v>
      </c>
      <c r="Z23" s="1">
        <f>SUM(背包!AP30*背包!AS30)</f>
        <v>0</v>
      </c>
      <c r="AJ23" s="650"/>
      <c r="AK23" s="651"/>
      <c r="AL23" s="651"/>
      <c r="AM23" s="651"/>
      <c r="AN23" s="652"/>
      <c r="AO23" s="433" t="s">
        <v>49</v>
      </c>
      <c r="AP23" s="647"/>
      <c r="AQ23" s="648"/>
      <c r="AR23" s="488"/>
      <c r="AS23" s="609"/>
      <c r="AT23" s="674"/>
      <c r="AU23" s="629"/>
      <c r="AV23" s="716"/>
      <c r="AW23" s="716"/>
      <c r="AX23" s="716"/>
      <c r="AY23" s="716"/>
      <c r="AZ23" s="716"/>
      <c r="BA23" s="716"/>
      <c r="BB23" s="716"/>
      <c r="BC23" s="716"/>
      <c r="BD23" s="716"/>
      <c r="BE23" s="717"/>
      <c r="BT23" s="767"/>
      <c r="BU23" s="767"/>
      <c r="BY23" s="768"/>
      <c r="BZ23" s="768"/>
      <c r="CF23" s="22">
        <f>CF22*CG22</f>
        <v>2700</v>
      </c>
      <c r="CG23" s="22">
        <v>4</v>
      </c>
      <c r="CI23" s="17">
        <f>IF(主要!P40="O",1,0)</f>
        <v>0</v>
      </c>
      <c r="CL23" s="19"/>
      <c r="CN23" s="51" t="s">
        <v>3458</v>
      </c>
      <c r="CO23" s="52" t="s">
        <v>3459</v>
      </c>
      <c r="CP23" s="51" t="s">
        <v>3460</v>
      </c>
      <c r="CQ23" s="51">
        <v>5</v>
      </c>
    </row>
    <row r="24" spans="1:98" ht="16.5" customHeight="1">
      <c r="A24" s="19">
        <v>23</v>
      </c>
      <c r="B24" s="19" t="str">
        <f>IF(法术书!X25="","",法术书!X25)</f>
        <v/>
      </c>
      <c r="C24" s="19" t="str">
        <f>IFERROR(VLOOKUP(B24,法术大全!$A:$W,5,FALSE),"")</f>
        <v/>
      </c>
      <c r="D24" s="284" t="str">
        <f>IFERROR(VLOOKUP(B24,法术大全!$A:$W,4,FALSE),"")</f>
        <v/>
      </c>
      <c r="E24" s="19">
        <v>23</v>
      </c>
      <c r="F24" s="285" t="str">
        <f t="shared" si="0"/>
        <v/>
      </c>
      <c r="G24" s="242"/>
      <c r="H24" s="18" t="str">
        <f>IF(主要!Y68&lt;&gt;"",主要!Y68,"")</f>
        <v/>
      </c>
      <c r="I24" s="19">
        <f>IF(VLOOKUP(H24,法术大全!$A$3:$E$574,4,0)="√",1,0)</f>
        <v>0</v>
      </c>
      <c r="J24" s="19">
        <f>IF(VLOOKUP(H24,法术大全!$A$3:$E$574,5,0)="√",1,0)</f>
        <v>0</v>
      </c>
      <c r="K24" s="242" t="str" cm="1">
        <f t="array" ref="K24">IFERROR(INDEX($H$1:$H$59,SMALL(IF($H$2:$H$59&lt;&gt;"",ROW($H$2:$H$59),4^8),ROW(24:24)))&amp;"","")</f>
        <v/>
      </c>
      <c r="L24" s="19"/>
      <c r="N24" s="358">
        <v>3</v>
      </c>
      <c r="O24" s="358" t="s">
        <v>2437</v>
      </c>
      <c r="P24" s="358" t="s">
        <v>6008</v>
      </c>
      <c r="Q24" s="358" t="s">
        <v>2452</v>
      </c>
      <c r="R24" s="358" t="s">
        <v>2428</v>
      </c>
      <c r="W24" s="1">
        <f>SUM(背包!S7*背包!V7)</f>
        <v>0</v>
      </c>
      <c r="X24" s="1">
        <f>SUM(背包!AP7*背包!AS7)</f>
        <v>0</v>
      </c>
      <c r="Y24" s="1">
        <f>SUM(背包!S31*背包!V31)</f>
        <v>0</v>
      </c>
      <c r="Z24" s="1">
        <f>SUM(背包!AP31*背包!AS31)</f>
        <v>0</v>
      </c>
      <c r="AJ24" s="511"/>
      <c r="AK24" s="512"/>
      <c r="AL24" s="512"/>
      <c r="AM24" s="512"/>
      <c r="AN24" s="513"/>
      <c r="AO24" s="433" t="s">
        <v>49</v>
      </c>
      <c r="AP24" s="660"/>
      <c r="AQ24" s="661"/>
      <c r="AR24" s="484"/>
      <c r="AS24" s="546"/>
      <c r="AT24" s="672"/>
      <c r="AU24" s="632"/>
      <c r="AV24" s="632"/>
      <c r="AW24" s="632"/>
      <c r="AX24" s="632"/>
      <c r="AY24" s="632"/>
      <c r="AZ24" s="632"/>
      <c r="BA24" s="632"/>
      <c r="BB24" s="632"/>
      <c r="BC24" s="632"/>
      <c r="BD24" s="632"/>
      <c r="BE24" s="633"/>
      <c r="BT24" s="766"/>
      <c r="BU24" s="766"/>
      <c r="BY24" s="766"/>
      <c r="BZ24" s="766"/>
      <c r="CF24" s="18">
        <v>6500</v>
      </c>
      <c r="CG24" s="18">
        <v>5</v>
      </c>
      <c r="CI24" s="17">
        <f>IF(主要!F32="O",1,0)</f>
        <v>0</v>
      </c>
      <c r="CL24" s="19"/>
      <c r="CN24" s="51" t="s">
        <v>403</v>
      </c>
      <c r="CO24" s="52" t="s">
        <v>81</v>
      </c>
      <c r="CP24" s="51" t="s">
        <v>202</v>
      </c>
      <c r="CQ24" s="51">
        <v>2</v>
      </c>
    </row>
    <row r="25" spans="1:98" ht="16.5" customHeight="1">
      <c r="A25" s="19">
        <v>24</v>
      </c>
      <c r="B25" s="19" t="str">
        <f>IF(法术书!X26="","",法术书!X26)</f>
        <v/>
      </c>
      <c r="C25" s="19" t="str">
        <f>IFERROR(VLOOKUP(B25,法术大全!$A:$W,5,FALSE),"")</f>
        <v/>
      </c>
      <c r="D25" s="284" t="str">
        <f>IFERROR(VLOOKUP(B25,法术大全!$A:$W,4,FALSE),"")</f>
        <v/>
      </c>
      <c r="E25" s="19">
        <v>24</v>
      </c>
      <c r="F25" s="285" t="str">
        <f t="shared" si="0"/>
        <v/>
      </c>
      <c r="G25" s="242"/>
      <c r="H25" s="18" t="str">
        <f>IF(主要!Y69&lt;&gt;"",主要!Y69,"")</f>
        <v/>
      </c>
      <c r="I25" s="19">
        <f>IF(VLOOKUP(H25,法术大全!$A$3:$E$574,4,0)="√",1,0)</f>
        <v>0</v>
      </c>
      <c r="J25" s="19">
        <f>IF(VLOOKUP(H25,法术大全!$A$3:$E$574,5,0)="√",1,0)</f>
        <v>0</v>
      </c>
      <c r="K25" s="242" t="str" cm="1">
        <f t="array" ref="K25">IFERROR(INDEX($H$1:$H$59,SMALL(IF($H$2:$H$59&lt;&gt;"",ROW($H$2:$H$59),4^8),ROW(25:25)))&amp;"","")</f>
        <v/>
      </c>
      <c r="L25" s="19"/>
      <c r="N25" s="358">
        <v>4</v>
      </c>
      <c r="O25" s="358" t="s">
        <v>2440</v>
      </c>
      <c r="P25" s="358" t="s">
        <v>6009</v>
      </c>
      <c r="Q25" s="358" t="s">
        <v>2461</v>
      </c>
      <c r="R25" s="358" t="s">
        <v>2434</v>
      </c>
      <c r="W25" s="1">
        <f>SUM(背包!S8*背包!V8)</f>
        <v>0</v>
      </c>
      <c r="X25" s="1">
        <f>SUM(背包!AP8*背包!AS8)</f>
        <v>0</v>
      </c>
      <c r="Y25" s="1">
        <f>SUM(背包!S32*背包!V32)</f>
        <v>0</v>
      </c>
      <c r="Z25" s="1">
        <f>SUM(背包!AP32*背包!AS32)</f>
        <v>0</v>
      </c>
      <c r="AJ25" s="506" t="s">
        <v>6473</v>
      </c>
      <c r="AK25" s="506"/>
      <c r="AL25" s="506"/>
      <c r="AM25" s="6"/>
      <c r="AN25" s="5"/>
      <c r="AO25" s="3"/>
      <c r="AP25" s="481" t="s">
        <v>6472</v>
      </c>
      <c r="AQ25" s="481"/>
      <c r="AR25" s="481"/>
      <c r="AS25" s="481"/>
      <c r="AT25" s="481"/>
      <c r="AU25" s="481"/>
      <c r="AV25" s="481"/>
      <c r="AW25" s="481"/>
      <c r="AX25" s="481"/>
      <c r="AY25" s="481"/>
      <c r="AZ25" s="481"/>
      <c r="BA25" s="481" t="s">
        <v>6077</v>
      </c>
      <c r="BB25" s="481"/>
      <c r="BC25" s="481"/>
      <c r="BD25" s="481"/>
      <c r="BE25" s="481"/>
      <c r="BY25" s="768"/>
      <c r="BZ25" s="768"/>
      <c r="CF25" s="18">
        <v>14000</v>
      </c>
      <c r="CG25" s="18">
        <v>6</v>
      </c>
      <c r="CI25" s="17">
        <f>IF(主要!F33="O",1,0)</f>
        <v>0</v>
      </c>
      <c r="CL25" s="19"/>
      <c r="CN25" s="51" t="s">
        <v>3461</v>
      </c>
      <c r="CO25" s="54" t="s">
        <v>3462</v>
      </c>
      <c r="CP25" s="51" t="s">
        <v>3463</v>
      </c>
      <c r="CQ25" s="51">
        <v>2</v>
      </c>
    </row>
    <row r="26" spans="1:98" ht="16.5" customHeight="1">
      <c r="A26" s="19">
        <v>25</v>
      </c>
      <c r="B26" s="19" t="str">
        <f>IF(法术书!X27="","",法术书!X27)</f>
        <v/>
      </c>
      <c r="C26" s="19" t="str">
        <f>IFERROR(VLOOKUP(B26,法术大全!$A:$W,5,FALSE),"")</f>
        <v/>
      </c>
      <c r="D26" s="284" t="str">
        <f>IFERROR(VLOOKUP(B26,法术大全!$A:$W,4,FALSE),"")</f>
        <v/>
      </c>
      <c r="E26" s="19">
        <v>25</v>
      </c>
      <c r="F26" s="285" t="str">
        <f t="shared" si="0"/>
        <v/>
      </c>
      <c r="G26" s="242"/>
      <c r="H26" s="18" t="str">
        <f>IF(主要!Y70&lt;&gt;"",主要!Y70,"")</f>
        <v/>
      </c>
      <c r="I26" s="19">
        <f>IF(VLOOKUP(H26,法术大全!$A$3:$E$574,4,0)="√",1,0)</f>
        <v>0</v>
      </c>
      <c r="J26" s="19">
        <f>IF(VLOOKUP(H26,法术大全!$A$3:$E$574,5,0)="√",1,0)</f>
        <v>0</v>
      </c>
      <c r="K26" s="242" t="str" cm="1">
        <f t="array" ref="K26">IFERROR(INDEX($H$1:$H$59,SMALL(IF($H$2:$H$59&lt;&gt;"",ROW($H$2:$H$59),4^8),ROW(26:26)))&amp;"","")</f>
        <v/>
      </c>
      <c r="L26" s="19"/>
      <c r="N26" s="358">
        <v>5</v>
      </c>
      <c r="O26" s="358" t="s">
        <v>2443</v>
      </c>
      <c r="P26" s="358" t="s">
        <v>2428</v>
      </c>
      <c r="Q26" s="358" t="s">
        <v>2463</v>
      </c>
      <c r="R26" s="358" t="s">
        <v>2444</v>
      </c>
      <c r="W26" s="1">
        <f>SUM(背包!S9*背包!V9)</f>
        <v>0</v>
      </c>
      <c r="X26" s="1">
        <f>SUM(背包!AP9*背包!AS9)</f>
        <v>0</v>
      </c>
      <c r="Y26" s="1">
        <f>SUM(背包!S33*背包!V33)</f>
        <v>0</v>
      </c>
      <c r="Z26" s="1">
        <f>SUM(背包!AP33*背包!AS33)</f>
        <v>0</v>
      </c>
      <c r="AJ26" s="511"/>
      <c r="AK26" s="512"/>
      <c r="AL26" s="512"/>
      <c r="AM26" s="512"/>
      <c r="AN26" s="513"/>
      <c r="AO26" s="433" t="s">
        <v>49</v>
      </c>
      <c r="AP26" s="662"/>
      <c r="AQ26" s="663"/>
      <c r="AR26" s="663"/>
      <c r="AS26" s="663"/>
      <c r="AT26" s="663"/>
      <c r="AU26" s="663"/>
      <c r="AV26" s="663"/>
      <c r="AW26" s="663"/>
      <c r="AX26" s="663"/>
      <c r="AY26" s="663"/>
      <c r="AZ26" s="664"/>
      <c r="BA26" s="476"/>
      <c r="BB26" s="477"/>
      <c r="BC26" s="428" t="s">
        <v>60</v>
      </c>
      <c r="BD26" s="478"/>
      <c r="BE26" s="668"/>
      <c r="BY26" s="766"/>
      <c r="BZ26" s="766"/>
      <c r="CF26" s="18">
        <v>23000</v>
      </c>
      <c r="CG26" s="18">
        <v>7</v>
      </c>
      <c r="CI26" s="17">
        <f>IF(主要!F34="O",1,0)</f>
        <v>0</v>
      </c>
      <c r="CL26" s="19"/>
      <c r="CN26" s="51" t="s">
        <v>3464</v>
      </c>
      <c r="CO26" s="52" t="s">
        <v>3465</v>
      </c>
      <c r="CP26" s="51" t="s">
        <v>240</v>
      </c>
      <c r="CQ26" s="51">
        <v>2</v>
      </c>
    </row>
    <row r="27" spans="1:98" ht="16.5" customHeight="1">
      <c r="A27" s="19">
        <v>26</v>
      </c>
      <c r="B27" s="19" t="str">
        <f>IF(法术书!X28="","",法术书!X28)</f>
        <v/>
      </c>
      <c r="C27" s="19" t="str">
        <f>IFERROR(VLOOKUP(B27,法术大全!$A:$W,5,FALSE),"")</f>
        <v/>
      </c>
      <c r="D27" s="284" t="str">
        <f>IFERROR(VLOOKUP(B27,法术大全!$A:$W,4,FALSE),"")</f>
        <v/>
      </c>
      <c r="E27" s="19">
        <v>26</v>
      </c>
      <c r="F27" s="285" t="str">
        <f t="shared" si="0"/>
        <v/>
      </c>
      <c r="G27" s="242"/>
      <c r="H27" s="18" t="str">
        <f>IF(主要!Y71&lt;&gt;"",主要!Y71,"")</f>
        <v/>
      </c>
      <c r="I27" s="19">
        <f>IF(VLOOKUP(H27,法术大全!$A$3:$E$574,4,0)="√",1,0)</f>
        <v>0</v>
      </c>
      <c r="J27" s="19">
        <f>IF(VLOOKUP(H27,法术大全!$A$3:$E$574,5,0)="√",1,0)</f>
        <v>0</v>
      </c>
      <c r="K27" s="242" t="str" cm="1">
        <f t="array" ref="K27">IFERROR(INDEX($H$1:$H$59,SMALL(IF($H$2:$H$59&lt;&gt;"",ROW($H$2:$H$59),4^8),ROW(27:27)))&amp;"","")</f>
        <v/>
      </c>
      <c r="L27" s="19"/>
      <c r="N27" s="358">
        <v>6</v>
      </c>
      <c r="O27" s="358" t="s">
        <v>2447</v>
      </c>
      <c r="P27" s="358" t="s">
        <v>2434</v>
      </c>
      <c r="Q27" s="358" t="s">
        <v>2435</v>
      </c>
      <c r="R27" s="358" t="s">
        <v>2448</v>
      </c>
      <c r="W27" s="1">
        <f>SUM(背包!S10*背包!V10)</f>
        <v>0</v>
      </c>
      <c r="X27" s="1">
        <f>SUM(背包!AP10*背包!AS10)</f>
        <v>0</v>
      </c>
      <c r="Y27" s="1">
        <f>SUM(背包!S34*背包!V34)</f>
        <v>0</v>
      </c>
      <c r="Z27" s="1">
        <f>SUM(背包!AP34*背包!AS34)</f>
        <v>0</v>
      </c>
      <c r="AJ27" s="650"/>
      <c r="AK27" s="651"/>
      <c r="AL27" s="651"/>
      <c r="AM27" s="651"/>
      <c r="AN27" s="652"/>
      <c r="AO27" s="433" t="s">
        <v>49</v>
      </c>
      <c r="AP27" s="715"/>
      <c r="AQ27" s="716"/>
      <c r="AR27" s="716"/>
      <c r="AS27" s="716"/>
      <c r="AT27" s="716"/>
      <c r="AU27" s="716"/>
      <c r="AV27" s="716"/>
      <c r="AW27" s="716"/>
      <c r="AX27" s="716"/>
      <c r="AY27" s="716"/>
      <c r="AZ27" s="717"/>
      <c r="BA27" s="472"/>
      <c r="BB27" s="473"/>
      <c r="BC27" s="427" t="s">
        <v>60</v>
      </c>
      <c r="BD27" s="485"/>
      <c r="BE27" s="669"/>
      <c r="BY27" s="768"/>
      <c r="BZ27" s="768"/>
      <c r="CF27" s="18">
        <v>34000</v>
      </c>
      <c r="CG27" s="18">
        <v>8</v>
      </c>
      <c r="CI27" s="17">
        <f>IF(主要!F35="O",1,0)</f>
        <v>0</v>
      </c>
      <c r="CL27" s="19"/>
      <c r="CN27" s="51" t="s">
        <v>404</v>
      </c>
      <c r="CO27" s="52" t="s">
        <v>3466</v>
      </c>
      <c r="CP27" s="51" t="s">
        <v>3467</v>
      </c>
      <c r="CQ27" s="51">
        <v>0</v>
      </c>
    </row>
    <row r="28" spans="1:98" ht="16.5" customHeight="1">
      <c r="A28" s="19">
        <v>27</v>
      </c>
      <c r="B28" s="19" t="str">
        <f>IF(法术书!X29="","",法术书!X29)</f>
        <v/>
      </c>
      <c r="C28" s="19" t="str">
        <f>IFERROR(VLOOKUP(B28,法术大全!$A:$W,5,FALSE),"")</f>
        <v/>
      </c>
      <c r="D28" s="284" t="str">
        <f>IFERROR(VLOOKUP(B28,法术大全!$A:$W,4,FALSE),"")</f>
        <v/>
      </c>
      <c r="E28" s="19">
        <v>27</v>
      </c>
      <c r="F28" s="285" t="str">
        <f t="shared" si="0"/>
        <v/>
      </c>
      <c r="G28" s="242"/>
      <c r="H28" s="18" t="str">
        <f>IF(主要!Y72&lt;&gt;"",主要!Y72,"")</f>
        <v/>
      </c>
      <c r="I28" s="19">
        <f>IF(VLOOKUP(H28,法术大全!$A$3:$E$574,4,0)="√",1,0)</f>
        <v>0</v>
      </c>
      <c r="J28" s="19">
        <f>IF(VLOOKUP(H28,法术大全!$A$3:$E$574,5,0)="√",1,0)</f>
        <v>0</v>
      </c>
      <c r="K28" s="242" t="str" cm="1">
        <f t="array" ref="K28">IFERROR(INDEX($H$1:$H$59,SMALL(IF($H$2:$H$59&lt;&gt;"",ROW($H$2:$H$59),4^8),ROW(28:28)))&amp;"","")</f>
        <v/>
      </c>
      <c r="L28" s="19"/>
      <c r="N28" s="358">
        <v>7</v>
      </c>
      <c r="O28" s="358" t="s">
        <v>2450</v>
      </c>
      <c r="P28" s="358" t="s">
        <v>2444</v>
      </c>
      <c r="Q28" s="358" t="s">
        <v>2439</v>
      </c>
      <c r="R28" s="358" t="s">
        <v>2487</v>
      </c>
      <c r="W28" s="1">
        <f>SUM(背包!S11*背包!V11)</f>
        <v>0</v>
      </c>
      <c r="X28" s="1">
        <f>SUM(背包!AP11*背包!AS11)</f>
        <v>0</v>
      </c>
      <c r="Y28" s="1">
        <f>SUM(背包!S35*背包!V35)</f>
        <v>0</v>
      </c>
      <c r="Z28" s="1">
        <f>SUM(背包!AP35*背包!AS35)</f>
        <v>0</v>
      </c>
      <c r="AJ28" s="511"/>
      <c r="AK28" s="512"/>
      <c r="AL28" s="512"/>
      <c r="AM28" s="512"/>
      <c r="AN28" s="513"/>
      <c r="AO28" s="433" t="s">
        <v>49</v>
      </c>
      <c r="AP28" s="631"/>
      <c r="AQ28" s="632"/>
      <c r="AR28" s="632"/>
      <c r="AS28" s="632"/>
      <c r="AT28" s="632"/>
      <c r="AU28" s="632"/>
      <c r="AV28" s="632"/>
      <c r="AW28" s="632"/>
      <c r="AX28" s="632"/>
      <c r="AY28" s="632"/>
      <c r="AZ28" s="633"/>
      <c r="BA28" s="477"/>
      <c r="BB28" s="482"/>
      <c r="BC28" s="428" t="s">
        <v>6474</v>
      </c>
      <c r="BD28" s="670"/>
      <c r="BE28" s="478"/>
      <c r="BY28" s="766"/>
      <c r="BZ28" s="766"/>
      <c r="CF28" s="18">
        <v>48000</v>
      </c>
      <c r="CG28" s="18">
        <v>9</v>
      </c>
      <c r="CI28" s="17">
        <f>IF(主要!F36="O",1,0)</f>
        <v>0</v>
      </c>
      <c r="CL28" s="19"/>
      <c r="CN28" s="51" t="s">
        <v>405</v>
      </c>
      <c r="CO28" s="52" t="s">
        <v>406</v>
      </c>
      <c r="CP28" s="51" t="s">
        <v>240</v>
      </c>
      <c r="CQ28" s="51">
        <v>1</v>
      </c>
    </row>
    <row r="29" spans="1:98" ht="16.5" customHeight="1">
      <c r="A29" s="19">
        <v>28</v>
      </c>
      <c r="B29" s="19" t="str">
        <f>IF(法术书!X30="","",法术书!X30)</f>
        <v/>
      </c>
      <c r="C29" s="19" t="str">
        <f>IFERROR(VLOOKUP(B29,法术大全!$A:$W,5,FALSE),"")</f>
        <v/>
      </c>
      <c r="D29" s="284" t="str">
        <f>IFERROR(VLOOKUP(B29,法术大全!$A:$W,4,FALSE),"")</f>
        <v/>
      </c>
      <c r="E29" s="19">
        <v>28</v>
      </c>
      <c r="F29" s="285" t="str">
        <f t="shared" si="0"/>
        <v/>
      </c>
      <c r="G29" s="242"/>
      <c r="H29" s="18" t="str">
        <f>IF(主要!Y73&lt;&gt;"",主要!Y73,"")</f>
        <v/>
      </c>
      <c r="I29" s="19">
        <f>IF(VLOOKUP(H29,法术大全!$A$3:$E$574,4,0)="√",1,0)</f>
        <v>0</v>
      </c>
      <c r="J29" s="19">
        <f>IF(VLOOKUP(H29,法术大全!$A$3:$E$574,5,0)="√",1,0)</f>
        <v>0</v>
      </c>
      <c r="K29" s="242" t="str" cm="1">
        <f t="array" ref="K29">IFERROR(INDEX($H$1:$H$59,SMALL(IF($H$2:$H$59&lt;&gt;"",ROW($H$2:$H$59),4^8),ROW(29:29)))&amp;"","")</f>
        <v/>
      </c>
      <c r="L29" s="19"/>
      <c r="N29" s="358">
        <v>8</v>
      </c>
      <c r="O29" s="358"/>
      <c r="P29" s="358"/>
      <c r="Q29" s="358" t="s">
        <v>2449</v>
      </c>
      <c r="R29" s="358" t="s">
        <v>2484</v>
      </c>
      <c r="W29" s="1">
        <f>SUM(背包!S12*背包!V12)</f>
        <v>0</v>
      </c>
      <c r="X29" s="1">
        <f>SUM(背包!AP12*背包!AS12)</f>
        <v>0</v>
      </c>
      <c r="Y29" s="1">
        <f>SUM(背包!S36*背包!V36)</f>
        <v>0</v>
      </c>
      <c r="Z29" s="1">
        <f>SUM(背包!AP36*背包!AS36)</f>
        <v>0</v>
      </c>
      <c r="AJ29" s="650"/>
      <c r="AK29" s="651"/>
      <c r="AL29" s="651"/>
      <c r="AM29" s="651"/>
      <c r="AN29" s="652"/>
      <c r="AO29" s="433" t="s">
        <v>49</v>
      </c>
      <c r="AP29" s="715"/>
      <c r="AQ29" s="716"/>
      <c r="AR29" s="716"/>
      <c r="AS29" s="716"/>
      <c r="AT29" s="716"/>
      <c r="AU29" s="716"/>
      <c r="AV29" s="716"/>
      <c r="AW29" s="716"/>
      <c r="AX29" s="716"/>
      <c r="AY29" s="716"/>
      <c r="AZ29" s="717"/>
      <c r="BA29" s="472"/>
      <c r="BB29" s="473"/>
      <c r="BC29" s="427" t="s">
        <v>6474</v>
      </c>
      <c r="BD29" s="485"/>
      <c r="BE29" s="669"/>
      <c r="CF29" s="18">
        <v>64000</v>
      </c>
      <c r="CG29" s="18">
        <v>10</v>
      </c>
      <c r="CI29" s="17">
        <f>IF(主要!P42="O",1,0)</f>
        <v>0</v>
      </c>
      <c r="CL29" s="19"/>
      <c r="CN29" s="51" t="s">
        <v>407</v>
      </c>
      <c r="CO29" s="52" t="s">
        <v>408</v>
      </c>
      <c r="CP29" s="51" t="s">
        <v>240</v>
      </c>
      <c r="CQ29" s="51">
        <v>1</v>
      </c>
    </row>
    <row r="30" spans="1:98" ht="16.5" customHeight="1">
      <c r="A30" s="19">
        <v>29</v>
      </c>
      <c r="B30" s="19" t="str">
        <f>IF(法术书!X31="","",法术书!X31)</f>
        <v/>
      </c>
      <c r="C30" s="19" t="str">
        <f>IFERROR(VLOOKUP(B30,法术大全!$A:$W,5,FALSE),"")</f>
        <v/>
      </c>
      <c r="D30" s="284" t="str">
        <f>IFERROR(VLOOKUP(B30,法术大全!$A:$W,4,FALSE),"")</f>
        <v/>
      </c>
      <c r="E30" s="19">
        <v>29</v>
      </c>
      <c r="F30" s="285" t="str">
        <f t="shared" si="0"/>
        <v/>
      </c>
      <c r="G30" s="242"/>
      <c r="H30" s="18" t="str">
        <f>IF(主要!AG66&lt;&gt;"",主要!AG66,"")</f>
        <v/>
      </c>
      <c r="I30" s="19">
        <f>IF(VLOOKUP(H30,法术大全!$A$3:$E$574,4,0)="√",1,0)</f>
        <v>0</v>
      </c>
      <c r="J30" s="19">
        <f>IF(VLOOKUP(H30,法术大全!$A$3:$E$574,5,0)="√",1,0)</f>
        <v>0</v>
      </c>
      <c r="K30" s="242" t="str" cm="1">
        <f t="array" ref="K30">IFERROR(INDEX($H$1:$H$59,SMALL(IF($H$2:$H$59&lt;&gt;"",ROW($H$2:$H$59),4^8),ROW(30:30)))&amp;"","")</f>
        <v/>
      </c>
      <c r="L30" s="19"/>
      <c r="N30" s="358">
        <v>9</v>
      </c>
      <c r="O30" s="358"/>
      <c r="P30" s="358"/>
      <c r="Q30" s="358" t="s">
        <v>2491</v>
      </c>
      <c r="R30" s="358" t="s">
        <v>2482</v>
      </c>
      <c r="W30" s="1">
        <f>SUM(背包!S13*背包!V13)</f>
        <v>0</v>
      </c>
      <c r="X30" s="1">
        <f>SUM(背包!AP13*背包!AS13)</f>
        <v>0</v>
      </c>
      <c r="Y30" s="1">
        <f>SUM(背包!S37*背包!V37)</f>
        <v>0</v>
      </c>
      <c r="Z30" s="1">
        <f>SUM(背包!AP37*背包!AS37)</f>
        <v>0</v>
      </c>
      <c r="AJ30" s="511"/>
      <c r="AK30" s="512"/>
      <c r="AL30" s="512"/>
      <c r="AM30" s="512"/>
      <c r="AN30" s="513"/>
      <c r="AO30" s="433" t="s">
        <v>49</v>
      </c>
      <c r="AP30" s="662"/>
      <c r="AQ30" s="663"/>
      <c r="AR30" s="663"/>
      <c r="AS30" s="663"/>
      <c r="AT30" s="663"/>
      <c r="AU30" s="663"/>
      <c r="AV30" s="663"/>
      <c r="AW30" s="663"/>
      <c r="AX30" s="663"/>
      <c r="AY30" s="663"/>
      <c r="AZ30" s="664"/>
      <c r="BA30" s="476"/>
      <c r="BB30" s="477"/>
      <c r="BC30" s="428" t="s">
        <v>60</v>
      </c>
      <c r="BD30" s="478"/>
      <c r="BE30" s="668"/>
      <c r="CF30" s="23">
        <v>85000</v>
      </c>
      <c r="CG30" s="23">
        <v>11</v>
      </c>
      <c r="CI30" s="17">
        <f>IF(主要!P43="O",1,0)</f>
        <v>0</v>
      </c>
      <c r="CL30" s="19"/>
      <c r="CN30" s="51" t="s">
        <v>3468</v>
      </c>
      <c r="CO30" s="52" t="s">
        <v>3469</v>
      </c>
      <c r="CP30" s="51" t="s">
        <v>214</v>
      </c>
      <c r="CQ30" s="51">
        <v>10</v>
      </c>
    </row>
    <row r="31" spans="1:98" ht="16.5" customHeight="1">
      <c r="A31" s="19">
        <v>30</v>
      </c>
      <c r="B31" s="19" t="str">
        <f>IF(法术书!X32="","",法术书!X32)</f>
        <v/>
      </c>
      <c r="C31" s="19" t="str">
        <f>IFERROR(VLOOKUP(B31,法术大全!$A:$W,5,FALSE),"")</f>
        <v/>
      </c>
      <c r="D31" s="284" t="str">
        <f>IFERROR(VLOOKUP(B31,法术大全!$A:$W,4,FALSE),"")</f>
        <v/>
      </c>
      <c r="E31" s="19">
        <v>30</v>
      </c>
      <c r="F31" s="285" t="str">
        <f t="shared" si="0"/>
        <v/>
      </c>
      <c r="G31" s="242"/>
      <c r="H31" s="18" t="str">
        <f>IF(主要!AG67&lt;&gt;"",主要!AG67,"")</f>
        <v/>
      </c>
      <c r="I31" s="19">
        <f>IF(VLOOKUP(H31,法术大全!$A$3:$E$574,4,0)="√",1,0)</f>
        <v>0</v>
      </c>
      <c r="J31" s="19">
        <f>IF(VLOOKUP(H31,法术大全!$A$3:$E$574,5,0)="√",1,0)</f>
        <v>0</v>
      </c>
      <c r="K31" s="242" t="str" cm="1">
        <f t="array" ref="K31">IFERROR(INDEX($H$1:$H$59,SMALL(IF($H$2:$H$59&lt;&gt;"",ROW($H$2:$H$59),4^8),ROW(31:31)))&amp;"","")</f>
        <v/>
      </c>
      <c r="L31" s="19"/>
      <c r="N31" s="358"/>
      <c r="O31" s="358"/>
      <c r="P31" s="358"/>
      <c r="Q31" s="358" t="s">
        <v>2488</v>
      </c>
      <c r="R31" s="358" t="s">
        <v>2490</v>
      </c>
      <c r="W31" s="1">
        <f>SUM(背包!S14*背包!V14)</f>
        <v>0</v>
      </c>
      <c r="X31" s="1">
        <f>SUM(背包!AP14*背包!AS14)</f>
        <v>0</v>
      </c>
      <c r="Y31" s="1">
        <f>SUM(背包!S38*背包!V38)</f>
        <v>0</v>
      </c>
      <c r="Z31" s="1">
        <f>SUM(背包!AP38*背包!AS38)</f>
        <v>0</v>
      </c>
      <c r="AJ31" s="506" t="s">
        <v>6473</v>
      </c>
      <c r="AK31" s="506"/>
      <c r="AL31" s="506"/>
      <c r="AM31" s="6"/>
      <c r="AN31" s="5"/>
      <c r="AO31" s="3"/>
      <c r="AP31" s="481" t="s">
        <v>6654</v>
      </c>
      <c r="AQ31" s="481"/>
      <c r="AR31" s="481"/>
      <c r="AS31" s="480" t="s">
        <v>6472</v>
      </c>
      <c r="AT31" s="480"/>
      <c r="AU31" s="480"/>
      <c r="AV31" s="480"/>
      <c r="AW31" s="480"/>
      <c r="AX31" s="480"/>
      <c r="AY31" s="480"/>
      <c r="AZ31" s="480"/>
      <c r="BA31" s="480"/>
      <c r="BB31" s="480"/>
      <c r="BC31" s="480"/>
      <c r="BD31" s="481" t="s">
        <v>6077</v>
      </c>
      <c r="BE31" s="481"/>
      <c r="BF31" s="481"/>
      <c r="BG31" s="481"/>
      <c r="BH31" s="481"/>
      <c r="CF31" s="23">
        <v>100000</v>
      </c>
      <c r="CG31" s="23">
        <v>12</v>
      </c>
      <c r="CI31" s="17">
        <f>IF(主要!P44="O",1,0)</f>
        <v>0</v>
      </c>
      <c r="CL31" s="19"/>
      <c r="CN31" s="51" t="s">
        <v>3470</v>
      </c>
      <c r="CO31" s="52" t="s">
        <v>81</v>
      </c>
      <c r="CP31" s="51" t="s">
        <v>3467</v>
      </c>
      <c r="CQ31" s="51">
        <v>0</v>
      </c>
    </row>
    <row r="32" spans="1:98" ht="16.5" customHeight="1">
      <c r="A32" s="19">
        <v>31</v>
      </c>
      <c r="B32" s="19" t="str">
        <f>IF(法术书!X33="","",法术书!X33)</f>
        <v/>
      </c>
      <c r="C32" s="19" t="str">
        <f>IFERROR(VLOOKUP(B32,法术大全!$A:$W,5,FALSE),"")</f>
        <v/>
      </c>
      <c r="D32" s="284" t="str">
        <f>IFERROR(VLOOKUP(B32,法术大全!$A:$W,4,FALSE),"")</f>
        <v/>
      </c>
      <c r="E32" s="19">
        <v>31</v>
      </c>
      <c r="F32" s="285" t="str">
        <f t="shared" si="0"/>
        <v/>
      </c>
      <c r="G32" s="242"/>
      <c r="H32" s="18" t="str">
        <f>IF(主要!AG68&lt;&gt;"",主要!AG68,"")</f>
        <v/>
      </c>
      <c r="I32" s="19">
        <f>IF(VLOOKUP(H32,法术大全!$A$3:$E$574,4,0)="√",1,0)</f>
        <v>0</v>
      </c>
      <c r="J32" s="19">
        <f>IF(VLOOKUP(H32,法术大全!$A$3:$E$574,5,0)="√",1,0)</f>
        <v>0</v>
      </c>
      <c r="K32" s="242" t="str" cm="1">
        <f t="array" ref="K32">IFERROR(INDEX($H$1:$H$59,SMALL(IF($H$2:$H$59&lt;&gt;"",ROW($H$2:$H$59),4^8),ROW(32:32)))&amp;"","")</f>
        <v/>
      </c>
      <c r="L32" s="19"/>
      <c r="N32" s="358"/>
      <c r="O32" s="358"/>
      <c r="P32" s="358"/>
      <c r="Q32" s="358" t="s">
        <v>2485</v>
      </c>
      <c r="R32" s="358" t="s">
        <v>2432</v>
      </c>
      <c r="W32" s="1"/>
      <c r="X32" s="1"/>
      <c r="Y32" s="1"/>
      <c r="Z32" s="1"/>
      <c r="AJ32" s="511"/>
      <c r="AK32" s="512"/>
      <c r="AL32" s="512"/>
      <c r="AM32" s="512"/>
      <c r="AN32" s="513"/>
      <c r="AO32" s="433" t="s">
        <v>49</v>
      </c>
      <c r="AP32" s="660"/>
      <c r="AQ32" s="661"/>
      <c r="AR32" s="484"/>
      <c r="AS32" s="662"/>
      <c r="AT32" s="663"/>
      <c r="AU32" s="663"/>
      <c r="AV32" s="663"/>
      <c r="AW32" s="663"/>
      <c r="AX32" s="663"/>
      <c r="AY32" s="663"/>
      <c r="AZ32" s="663"/>
      <c r="BA32" s="663"/>
      <c r="BB32" s="663"/>
      <c r="BC32" s="664"/>
      <c r="BD32" s="476"/>
      <c r="BE32" s="477"/>
      <c r="BF32" s="428" t="s">
        <v>60</v>
      </c>
      <c r="BG32" s="478"/>
      <c r="BH32" s="668"/>
      <c r="CF32" s="23">
        <v>120000</v>
      </c>
      <c r="CG32" s="23">
        <v>13</v>
      </c>
      <c r="CI32" s="17">
        <f>IF(主要!P45="O",1,0)</f>
        <v>0</v>
      </c>
      <c r="CN32" s="53" t="s">
        <v>3471</v>
      </c>
      <c r="CO32" s="54" t="s">
        <v>3472</v>
      </c>
      <c r="CP32" s="51" t="s">
        <v>214</v>
      </c>
      <c r="CQ32" s="51">
        <v>25</v>
      </c>
    </row>
    <row r="33" spans="1:95" ht="16.5" customHeight="1">
      <c r="A33" s="19">
        <v>32</v>
      </c>
      <c r="B33" s="19" t="str">
        <f>IF(法术书!X34="","",法术书!X34)</f>
        <v/>
      </c>
      <c r="C33" s="19" t="str">
        <f>IFERROR(VLOOKUP(B33,法术大全!$A:$W,5,FALSE),"")</f>
        <v/>
      </c>
      <c r="D33" s="284" t="str">
        <f>IFERROR(VLOOKUP(B33,法术大全!$A:$W,4,FALSE),"")</f>
        <v/>
      </c>
      <c r="E33" s="19">
        <v>32</v>
      </c>
      <c r="F33" s="285" t="str">
        <f t="shared" si="0"/>
        <v/>
      </c>
      <c r="G33" s="242"/>
      <c r="H33" s="18" t="str">
        <f>IF(主要!AG69&lt;&gt;"",主要!AG69,"")</f>
        <v/>
      </c>
      <c r="I33" s="19">
        <f>IF(VLOOKUP(H33,法术大全!$A$3:$E$574,4,0)="√",1,0)</f>
        <v>0</v>
      </c>
      <c r="J33" s="19">
        <f>IF(VLOOKUP(H33,法术大全!$A$3:$E$574,5,0)="√",1,0)</f>
        <v>0</v>
      </c>
      <c r="K33" s="242" t="str" cm="1">
        <f t="array" ref="K33">IFERROR(INDEX($H$1:$H$59,SMALL(IF($H$2:$H$59&lt;&gt;"",ROW($H$2:$H$59),4^8),ROW(33:33)))&amp;"","")</f>
        <v/>
      </c>
      <c r="L33" s="19"/>
      <c r="N33" s="358"/>
      <c r="O33" s="358"/>
      <c r="P33" s="358"/>
      <c r="Q33" s="358" t="s">
        <v>2489</v>
      </c>
      <c r="R33" s="358" t="s">
        <v>2459</v>
      </c>
      <c r="W33" s="1">
        <f>SUM(背包!S16*背包!V16)</f>
        <v>0</v>
      </c>
      <c r="X33" s="1">
        <f>SUM(背包!AP16*背包!AS16)</f>
        <v>0</v>
      </c>
      <c r="Y33" s="1">
        <f>SUM(背包!S40*背包!V40)</f>
        <v>0</v>
      </c>
      <c r="Z33" s="1">
        <f>SUM(背包!AP40*背包!AS40)</f>
        <v>0</v>
      </c>
      <c r="AJ33" s="650"/>
      <c r="AK33" s="651"/>
      <c r="AL33" s="651"/>
      <c r="AM33" s="651"/>
      <c r="AN33" s="652"/>
      <c r="AO33" s="433" t="s">
        <v>49</v>
      </c>
      <c r="AP33" s="647"/>
      <c r="AQ33" s="648"/>
      <c r="AR33" s="488"/>
      <c r="AS33" s="715"/>
      <c r="AT33" s="716"/>
      <c r="AU33" s="716"/>
      <c r="AV33" s="716"/>
      <c r="AW33" s="716"/>
      <c r="AX33" s="716"/>
      <c r="AY33" s="716"/>
      <c r="AZ33" s="716"/>
      <c r="BA33" s="716"/>
      <c r="BB33" s="716"/>
      <c r="BC33" s="717"/>
      <c r="BD33" s="472"/>
      <c r="BE33" s="473"/>
      <c r="BF33" s="427" t="s">
        <v>60</v>
      </c>
      <c r="BG33" s="485"/>
      <c r="BH33" s="669"/>
      <c r="CF33" s="23">
        <v>140000</v>
      </c>
      <c r="CG33" s="23">
        <v>14</v>
      </c>
      <c r="CI33" s="17">
        <f>IF(主要!P46="O",1,0)</f>
        <v>0</v>
      </c>
      <c r="CN33" s="51" t="s">
        <v>409</v>
      </c>
      <c r="CO33" s="52" t="s">
        <v>3473</v>
      </c>
      <c r="CP33" s="51" t="s">
        <v>253</v>
      </c>
      <c r="CQ33" s="51">
        <v>12</v>
      </c>
    </row>
    <row r="34" spans="1:95" ht="16.5" customHeight="1">
      <c r="A34" s="19">
        <v>33</v>
      </c>
      <c r="B34" s="19" t="str">
        <f>IF(法术书!X35="","",法术书!X35)</f>
        <v/>
      </c>
      <c r="C34" s="19" t="str">
        <f>IFERROR(VLOOKUP(B34,法术大全!$A:$W,5,FALSE),"")</f>
        <v/>
      </c>
      <c r="D34" s="284" t="str">
        <f>IFERROR(VLOOKUP(B34,法术大全!$A:$W,4,FALSE),"")</f>
        <v/>
      </c>
      <c r="E34" s="19">
        <v>33</v>
      </c>
      <c r="F34" s="285" t="str">
        <f t="shared" si="0"/>
        <v/>
      </c>
      <c r="G34" s="242"/>
      <c r="H34" s="18" t="str">
        <f>IF(主要!AG70&lt;&gt;"",主要!AG70,"")</f>
        <v/>
      </c>
      <c r="I34" s="19">
        <f>IF(VLOOKUP(H34,法术大全!$A$3:$E$574,4,0)="√",1,0)</f>
        <v>0</v>
      </c>
      <c r="J34" s="19">
        <f>IF(VLOOKUP(H34,法术大全!$A$3:$E$574,5,0)="√",1,0)</f>
        <v>0</v>
      </c>
      <c r="K34" s="242" t="str" cm="1">
        <f t="array" ref="K34">IFERROR(INDEX($H$1:$H$59,SMALL(IF($H$2:$H$59&lt;&gt;"",ROW($H$2:$H$59),4^8),ROW(34:34)))&amp;"","")</f>
        <v/>
      </c>
      <c r="L34" s="19"/>
      <c r="N34" s="358"/>
      <c r="O34" s="358"/>
      <c r="P34" s="358"/>
      <c r="Q34" s="358" t="s">
        <v>3038</v>
      </c>
      <c r="R34" s="358" t="s">
        <v>2456</v>
      </c>
      <c r="W34" s="1">
        <f>SUM(背包!S17*背包!V17)</f>
        <v>0</v>
      </c>
      <c r="X34" s="1">
        <f>SUM(背包!AP17*背包!AS17)</f>
        <v>0</v>
      </c>
      <c r="Y34" s="1">
        <f>SUM(背包!S41*背包!V41)</f>
        <v>0</v>
      </c>
      <c r="Z34" s="1">
        <f>SUM(背包!AP41*背包!AS41)</f>
        <v>0</v>
      </c>
      <c r="AJ34" s="511"/>
      <c r="AK34" s="512"/>
      <c r="AL34" s="512"/>
      <c r="AM34" s="512"/>
      <c r="AN34" s="513"/>
      <c r="AO34" s="433" t="s">
        <v>49</v>
      </c>
      <c r="AP34" s="660"/>
      <c r="AQ34" s="661"/>
      <c r="AR34" s="484"/>
      <c r="AS34" s="631"/>
      <c r="AT34" s="632"/>
      <c r="AU34" s="632"/>
      <c r="AV34" s="632"/>
      <c r="AW34" s="632"/>
      <c r="AX34" s="632"/>
      <c r="AY34" s="632"/>
      <c r="AZ34" s="632"/>
      <c r="BA34" s="632"/>
      <c r="BB34" s="632"/>
      <c r="BC34" s="633"/>
      <c r="BD34" s="477"/>
      <c r="BE34" s="482"/>
      <c r="BF34" s="428" t="s">
        <v>6474</v>
      </c>
      <c r="BG34" s="670"/>
      <c r="BH34" s="478"/>
      <c r="CF34" s="23">
        <v>165000</v>
      </c>
      <c r="CG34" s="23">
        <v>15</v>
      </c>
      <c r="CI34" s="17">
        <f>IF(主要!P47="O",1,0)</f>
        <v>0</v>
      </c>
      <c r="CN34" s="51" t="s">
        <v>410</v>
      </c>
      <c r="CO34" s="52" t="s">
        <v>81</v>
      </c>
      <c r="CP34" s="51" t="s">
        <v>3456</v>
      </c>
      <c r="CQ34" s="51">
        <v>3</v>
      </c>
    </row>
    <row r="35" spans="1:95" ht="16.5" customHeight="1">
      <c r="A35" s="19">
        <v>34</v>
      </c>
      <c r="B35" s="19" t="str">
        <f>IF(法术书!X36="","",法术书!X36)</f>
        <v/>
      </c>
      <c r="C35" s="19" t="str">
        <f>IFERROR(VLOOKUP(B35,法术大全!$A:$W,5,FALSE),"")</f>
        <v/>
      </c>
      <c r="D35" s="284" t="str">
        <f>IFERROR(VLOOKUP(B35,法术大全!$A:$W,4,FALSE),"")</f>
        <v/>
      </c>
      <c r="E35" s="19">
        <v>34</v>
      </c>
      <c r="F35" s="285" t="str">
        <f t="shared" si="0"/>
        <v/>
      </c>
      <c r="G35" s="242"/>
      <c r="H35" s="18" t="str">
        <f>IF(主要!AG71&lt;&gt;"",主要!AG71,"")</f>
        <v/>
      </c>
      <c r="I35" s="19">
        <f>IF(VLOOKUP(H35,法术大全!$A$3:$E$574,4,0)="√",1,0)</f>
        <v>0</v>
      </c>
      <c r="J35" s="19">
        <f>IF(VLOOKUP(H35,法术大全!$A$3:$E$574,5,0)="√",1,0)</f>
        <v>0</v>
      </c>
      <c r="K35" s="242" t="str" cm="1">
        <f t="array" ref="K35">IFERROR(INDEX($H$1:$H$59,SMALL(IF($H$2:$H$59&lt;&gt;"",ROW($H$2:$H$59),4^8),ROW(35:35)))&amp;"","")</f>
        <v/>
      </c>
      <c r="L35" s="19"/>
      <c r="N35" s="358"/>
      <c r="O35" s="358"/>
      <c r="P35" s="358"/>
      <c r="Q35" s="358" t="s">
        <v>2445</v>
      </c>
      <c r="R35" s="358" t="s">
        <v>2471</v>
      </c>
      <c r="W35" s="1">
        <f>SUM(背包!S18*背包!V18)</f>
        <v>0</v>
      </c>
      <c r="X35" s="1">
        <f>SUM(背包!AP18*背包!AS18)</f>
        <v>0</v>
      </c>
      <c r="Y35" s="1">
        <f>SUM(背包!S42*背包!V42)</f>
        <v>0</v>
      </c>
      <c r="Z35" s="1">
        <f>SUM(背包!AP42*背包!AS42)</f>
        <v>0</v>
      </c>
      <c r="AJ35" s="650"/>
      <c r="AK35" s="651"/>
      <c r="AL35" s="651"/>
      <c r="AM35" s="651"/>
      <c r="AN35" s="652"/>
      <c r="AO35" s="433" t="s">
        <v>49</v>
      </c>
      <c r="AP35" s="647"/>
      <c r="AQ35" s="648"/>
      <c r="AR35" s="488"/>
      <c r="AS35" s="715"/>
      <c r="AT35" s="716"/>
      <c r="AU35" s="716"/>
      <c r="AV35" s="716"/>
      <c r="AW35" s="716"/>
      <c r="AX35" s="716"/>
      <c r="AY35" s="716"/>
      <c r="AZ35" s="716"/>
      <c r="BA35" s="716"/>
      <c r="BB35" s="716"/>
      <c r="BC35" s="717"/>
      <c r="BD35" s="472"/>
      <c r="BE35" s="473"/>
      <c r="BF35" s="427" t="s">
        <v>6474</v>
      </c>
      <c r="BG35" s="485"/>
      <c r="BH35" s="669"/>
      <c r="CF35" s="23">
        <v>195000</v>
      </c>
      <c r="CG35" s="23">
        <v>16</v>
      </c>
      <c r="CI35" s="17">
        <f>IF(主要!P48="O",1,0)</f>
        <v>0</v>
      </c>
      <c r="CN35" s="51" t="s">
        <v>411</v>
      </c>
      <c r="CO35" s="52" t="s">
        <v>81</v>
      </c>
      <c r="CP35" s="51" t="s">
        <v>214</v>
      </c>
      <c r="CQ35" s="51">
        <v>4</v>
      </c>
    </row>
    <row r="36" spans="1:95" ht="16.5" customHeight="1">
      <c r="A36" s="19">
        <v>35</v>
      </c>
      <c r="B36" s="19" t="str">
        <f>IF(法术书!X37="","",法术书!X37)</f>
        <v/>
      </c>
      <c r="C36" s="19" t="str">
        <f>IFERROR(VLOOKUP(B36,法术大全!$A:$W,5,FALSE),"")</f>
        <v/>
      </c>
      <c r="D36" s="284" t="str">
        <f>IFERROR(VLOOKUP(B36,法术大全!$A:$W,4,FALSE),"")</f>
        <v/>
      </c>
      <c r="E36" s="19">
        <v>35</v>
      </c>
      <c r="F36" s="285" t="str">
        <f t="shared" si="0"/>
        <v/>
      </c>
      <c r="G36" s="242"/>
      <c r="H36" s="18" t="str">
        <f>IF(主要!AG72&lt;&gt;"",主要!AG72,"")</f>
        <v/>
      </c>
      <c r="I36" s="19">
        <f>IF(VLOOKUP(H36,法术大全!$A$3:$E$574,4,0)="√",1,0)</f>
        <v>0</v>
      </c>
      <c r="J36" s="19">
        <f>IF(VLOOKUP(H36,法术大全!$A$3:$E$574,5,0)="√",1,0)</f>
        <v>0</v>
      </c>
      <c r="K36" s="242" t="str" cm="1">
        <f t="array" ref="K36">IFERROR(INDEX($H$1:$H$59,SMALL(IF($H$2:$H$59&lt;&gt;"",ROW($H$2:$H$59),4^8),ROW(36:36)))&amp;"","")</f>
        <v/>
      </c>
      <c r="L36" s="19"/>
      <c r="N36" s="358"/>
      <c r="O36" s="358"/>
      <c r="P36" s="358"/>
      <c r="Q36" s="358" t="s">
        <v>2470</v>
      </c>
      <c r="R36" s="358" t="s">
        <v>2472</v>
      </c>
      <c r="W36" s="1">
        <f>SUM(背包!S19*背包!V19)</f>
        <v>0</v>
      </c>
      <c r="X36" s="1">
        <f>SUM(背包!AP19*背包!AS19)</f>
        <v>0</v>
      </c>
      <c r="Y36" s="1">
        <f>SUM(背包!S43*背包!V43)</f>
        <v>0</v>
      </c>
      <c r="Z36" s="1">
        <f>SUM(背包!AP43*背包!AS43)</f>
        <v>0</v>
      </c>
      <c r="CF36" s="18">
        <v>225000</v>
      </c>
      <c r="CG36" s="18">
        <v>17</v>
      </c>
      <c r="CI36" s="17">
        <f>IF(主要!P49="O",1,0)</f>
        <v>0</v>
      </c>
      <c r="CN36" s="51" t="s">
        <v>412</v>
      </c>
      <c r="CO36" s="52" t="s">
        <v>81</v>
      </c>
      <c r="CP36" s="51" t="s">
        <v>300</v>
      </c>
      <c r="CQ36" s="51">
        <v>6</v>
      </c>
    </row>
    <row r="37" spans="1:95" ht="16.5" customHeight="1">
      <c r="A37" s="19">
        <v>36</v>
      </c>
      <c r="B37" s="19" t="str">
        <f>IF(法术书!X38="","",法术书!X38)</f>
        <v/>
      </c>
      <c r="C37" s="19" t="str">
        <f>IFERROR(VLOOKUP(B37,法术大全!$A:$W,5,FALSE),"")</f>
        <v/>
      </c>
      <c r="D37" s="284" t="str">
        <f>IFERROR(VLOOKUP(B37,法术大全!$A:$W,4,FALSE),"")</f>
        <v/>
      </c>
      <c r="E37" s="19">
        <v>36</v>
      </c>
      <c r="F37" s="285" t="str">
        <f t="shared" si="0"/>
        <v/>
      </c>
      <c r="G37" s="242"/>
      <c r="H37" s="18" t="str">
        <f>IF(主要!AG73&lt;&gt;"",主要!AG73,"")</f>
        <v/>
      </c>
      <c r="I37" s="19">
        <f>IF(VLOOKUP(H37,法术大全!$A$3:$E$574,4,0)="√",1,0)</f>
        <v>0</v>
      </c>
      <c r="J37" s="19">
        <f>IF(VLOOKUP(H37,法术大全!$A$3:$E$574,5,0)="√",1,0)</f>
        <v>0</v>
      </c>
      <c r="K37" s="242" t="str" cm="1">
        <f t="array" ref="K37">IFERROR(INDEX($H$1:$H$59,SMALL(IF($H$2:$H$59&lt;&gt;"",ROW($H$2:$H$59),4^8),ROW(37:37)))&amp;"","")</f>
        <v/>
      </c>
      <c r="L37" s="19"/>
      <c r="N37" s="358"/>
      <c r="O37" s="358"/>
      <c r="P37" s="358"/>
      <c r="Q37" s="358" t="s">
        <v>2471</v>
      </c>
      <c r="R37" s="358" t="s">
        <v>2474</v>
      </c>
      <c r="W37" s="1">
        <f>SUM(背包!S20*背包!V20)</f>
        <v>0</v>
      </c>
      <c r="X37" s="1">
        <f>SUM(背包!AP20*背包!AS20)</f>
        <v>0</v>
      </c>
      <c r="Y37" s="1">
        <f>SUM(背包!S44*背包!V44)</f>
        <v>0</v>
      </c>
      <c r="Z37" s="1">
        <f>SUM(背包!AP44*背包!AS44)</f>
        <v>0</v>
      </c>
      <c r="AJ37" s="480" t="s">
        <v>108</v>
      </c>
      <c r="AK37" s="480"/>
      <c r="AL37" s="480"/>
      <c r="AM37" s="480"/>
      <c r="AN37" s="480"/>
      <c r="AO37" s="480"/>
      <c r="AP37" s="480"/>
      <c r="AQ37" s="480"/>
      <c r="AR37" s="480"/>
      <c r="AS37" s="480"/>
      <c r="AT37" s="480"/>
      <c r="AU37" s="480"/>
      <c r="AV37" s="480"/>
      <c r="AW37" s="480"/>
      <c r="AX37" s="480"/>
      <c r="AY37" s="480"/>
      <c r="AZ37" s="480"/>
      <c r="BA37" s="480"/>
      <c r="BB37" s="480"/>
      <c r="BC37" s="480"/>
      <c r="BD37" s="480"/>
      <c r="BE37" s="480"/>
      <c r="BF37" s="480"/>
      <c r="BG37" s="480"/>
      <c r="BH37" s="480"/>
      <c r="BI37" s="480"/>
      <c r="BJ37" s="480"/>
      <c r="BK37" s="480"/>
      <c r="BL37" s="480"/>
      <c r="BM37" s="480"/>
      <c r="BN37" s="480"/>
      <c r="BO37" s="480"/>
      <c r="BP37" s="480"/>
      <c r="BQ37" s="480"/>
      <c r="BR37" s="480"/>
      <c r="BS37" s="480"/>
      <c r="BT37" s="480"/>
      <c r="BU37" s="480"/>
      <c r="BV37" s="480"/>
      <c r="BW37" s="480"/>
      <c r="BX37" s="480"/>
      <c r="BY37" s="480"/>
      <c r="BZ37" s="480"/>
      <c r="CA37" s="480"/>
      <c r="CB37" s="480"/>
      <c r="CF37" s="18">
        <v>265000</v>
      </c>
      <c r="CG37" s="18">
        <v>18</v>
      </c>
      <c r="CI37" s="17">
        <f>IF(主要!P50="O",1,0)</f>
        <v>0</v>
      </c>
      <c r="CN37" s="51" t="s">
        <v>413</v>
      </c>
      <c r="CO37" s="52" t="s">
        <v>81</v>
      </c>
      <c r="CP37" s="51" t="s">
        <v>202</v>
      </c>
      <c r="CQ37" s="51">
        <v>4</v>
      </c>
    </row>
    <row r="38" spans="1:95" ht="16.5" customHeight="1">
      <c r="A38" s="19">
        <v>37</v>
      </c>
      <c r="B38" s="19" t="str">
        <f>IF(法术书!X39="","",法术书!X39)</f>
        <v/>
      </c>
      <c r="C38" s="19" t="str">
        <f>IFERROR(VLOOKUP(B38,法术大全!$A:$W,5,FALSE),"")</f>
        <v/>
      </c>
      <c r="D38" s="284" t="str">
        <f>IFERROR(VLOOKUP(B38,法术大全!$A:$W,4,FALSE),"")</f>
        <v/>
      </c>
      <c r="E38" s="19">
        <v>37</v>
      </c>
      <c r="F38" s="285" t="str">
        <f t="shared" si="0"/>
        <v/>
      </c>
      <c r="G38" s="242"/>
      <c r="H38" s="18" t="str">
        <f>IF(主要!AG74&lt;&gt;"",主要!AG74,"")</f>
        <v/>
      </c>
      <c r="I38" s="19">
        <f>IF(VLOOKUP(H38,法术大全!$A$3:$E$574,4,0)="√",1,0)</f>
        <v>0</v>
      </c>
      <c r="J38" s="19">
        <f>IF(VLOOKUP(H38,法术大全!$A$3:$E$574,5,0)="√",1,0)</f>
        <v>0</v>
      </c>
      <c r="K38" s="242" t="str" cm="1">
        <f t="array" ref="K38">IFERROR(INDEX($H$1:$H$59,SMALL(IF($H$2:$H$59&lt;&gt;"",ROW($H$2:$H$59),4^8),ROW(38:38)))&amp;"","")</f>
        <v/>
      </c>
      <c r="L38" s="19"/>
      <c r="N38" s="358"/>
      <c r="O38" s="358"/>
      <c r="P38" s="358"/>
      <c r="Q38" s="358"/>
      <c r="R38" s="358" t="s">
        <v>2476</v>
      </c>
      <c r="W38" s="1">
        <f>SUM(背包!S21*背包!V21)</f>
        <v>0</v>
      </c>
      <c r="X38" s="1">
        <f>SUM(背包!AP21*背包!AS21)</f>
        <v>0</v>
      </c>
      <c r="Y38" s="1">
        <f>SUM(背包!S45*背包!V45)</f>
        <v>0</v>
      </c>
      <c r="Z38" s="1">
        <f>SUM(背包!AP45*背包!AS45)</f>
        <v>0</v>
      </c>
      <c r="AJ38" s="559" t="s">
        <v>123</v>
      </c>
      <c r="AK38" s="559"/>
      <c r="AL38" s="550"/>
      <c r="AM38" s="550"/>
      <c r="AN38" s="550"/>
      <c r="AO38" s="550"/>
      <c r="AP38" s="550"/>
      <c r="AQ38" s="557" t="s">
        <v>121</v>
      </c>
      <c r="AR38" s="557"/>
      <c r="AS38" s="704"/>
      <c r="AT38" s="704"/>
      <c r="AU38" s="704"/>
      <c r="AV38" s="704"/>
      <c r="AW38" s="704"/>
      <c r="AX38" s="555" t="s">
        <v>115</v>
      </c>
      <c r="AY38" s="555"/>
      <c r="AZ38" s="543"/>
      <c r="BA38" s="543"/>
      <c r="BB38" s="543"/>
      <c r="BC38" s="543"/>
      <c r="BD38" s="543"/>
      <c r="BE38" s="713" t="s">
        <v>116</v>
      </c>
      <c r="BF38" s="713"/>
      <c r="BG38" s="714"/>
      <c r="BH38" s="714"/>
      <c r="BI38" s="714"/>
      <c r="BJ38" s="714"/>
      <c r="BK38" s="714"/>
      <c r="BL38" s="536" t="s">
        <v>110</v>
      </c>
      <c r="BM38" s="536"/>
      <c r="BN38" s="552"/>
      <c r="BO38" s="552"/>
      <c r="BP38" s="552"/>
      <c r="BQ38" s="552"/>
      <c r="BR38" s="552"/>
      <c r="BS38" s="551" t="s">
        <v>6657</v>
      </c>
      <c r="BT38" s="551"/>
      <c r="BU38" s="551"/>
      <c r="BV38" s="558" t="str">
        <f>CONCATENATE(SUM(BN38*10+AZ38/2+BG38+AS38/10+AL38/100),"GP")</f>
        <v>0GP</v>
      </c>
      <c r="BW38" s="558"/>
      <c r="BX38" s="558"/>
      <c r="BY38" s="558"/>
      <c r="BZ38" s="558"/>
      <c r="CA38" s="558"/>
      <c r="CB38" s="558"/>
      <c r="CF38" s="18">
        <v>305000</v>
      </c>
      <c r="CG38" s="18">
        <v>19</v>
      </c>
      <c r="CI38" s="17">
        <f>IF(主要!P51="O",1,0)</f>
        <v>0</v>
      </c>
      <c r="CN38" s="51" t="s">
        <v>414</v>
      </c>
      <c r="CO38" s="52" t="s">
        <v>3474</v>
      </c>
      <c r="CP38" s="51" t="s">
        <v>253</v>
      </c>
      <c r="CQ38" s="51">
        <v>2</v>
      </c>
    </row>
    <row r="39" spans="1:95" ht="16.5" customHeight="1">
      <c r="A39" s="19">
        <v>38</v>
      </c>
      <c r="B39" s="19" t="str">
        <f>IF(法术书!X40="","",法术书!X40)</f>
        <v/>
      </c>
      <c r="C39" s="19" t="str">
        <f>IFERROR(VLOOKUP(B39,法术大全!$A:$W,5,FALSE),"")</f>
        <v/>
      </c>
      <c r="D39" s="284" t="str">
        <f>IFERROR(VLOOKUP(B39,法术大全!$A:$W,4,FALSE),"")</f>
        <v/>
      </c>
      <c r="E39" s="19">
        <v>38</v>
      </c>
      <c r="F39" s="285" t="str">
        <f t="shared" si="0"/>
        <v/>
      </c>
      <c r="G39" s="242"/>
      <c r="H39" s="18" t="str">
        <f>IF(主要!AG75&lt;&gt;"",主要!AG75,"")</f>
        <v/>
      </c>
      <c r="I39" s="19">
        <f>IF(VLOOKUP(H39,法术大全!$A$3:$E$574,4,0)="√",1,0)</f>
        <v>0</v>
      </c>
      <c r="J39" s="19">
        <f>IF(VLOOKUP(H39,法术大全!$A$3:$E$574,5,0)="√",1,0)</f>
        <v>0</v>
      </c>
      <c r="K39" s="242" t="str" cm="1">
        <f t="array" ref="K39">IFERROR(INDEX($H$1:$H$59,SMALL(IF($H$2:$H$59&lt;&gt;"",ROW($H$2:$H$59),4^8),ROW(39:39)))&amp;"","")</f>
        <v/>
      </c>
      <c r="L39" s="19"/>
      <c r="W39" s="1">
        <f>SUM(背包!S22*背包!V22)</f>
        <v>0</v>
      </c>
      <c r="X39" s="1">
        <f>SUM(背包!AP22*背包!AS22)</f>
        <v>0</v>
      </c>
      <c r="Y39" s="1">
        <f>SUM(背包!S46*背包!V46)</f>
        <v>0</v>
      </c>
      <c r="Z39" s="1">
        <f>SUM(背包!AP46*背包!AS46)</f>
        <v>0</v>
      </c>
      <c r="CF39" s="18">
        <v>355000</v>
      </c>
      <c r="CG39" s="18">
        <v>20</v>
      </c>
      <c r="CI39" s="17">
        <f>IF(主要!AP40="O",1,0)</f>
        <v>0</v>
      </c>
      <c r="CN39" s="51" t="s">
        <v>415</v>
      </c>
      <c r="CO39" s="52" t="s">
        <v>416</v>
      </c>
      <c r="CP39" s="51" t="s">
        <v>202</v>
      </c>
      <c r="CQ39" s="51">
        <v>5</v>
      </c>
    </row>
    <row r="40" spans="1:95" ht="16.5" customHeight="1">
      <c r="A40" s="19">
        <v>39</v>
      </c>
      <c r="B40" s="19" t="str">
        <f>IF(法术书!X41="","",法术书!X41)</f>
        <v/>
      </c>
      <c r="C40" s="19" t="str">
        <f>IFERROR(VLOOKUP(B40,法术大全!$A:$W,5,FALSE),"")</f>
        <v/>
      </c>
      <c r="D40" s="284" t="str">
        <f>IFERROR(VLOOKUP(B40,法术大全!$A:$W,4,FALSE),"")</f>
        <v/>
      </c>
      <c r="E40" s="19">
        <v>39</v>
      </c>
      <c r="F40" s="285" t="str">
        <f t="shared" si="0"/>
        <v/>
      </c>
      <c r="G40" s="242"/>
      <c r="H40" s="18" t="str">
        <f>IF(主要!AG76&lt;&gt;"",主要!AG76,"")</f>
        <v/>
      </c>
      <c r="I40" s="19">
        <f>IF(VLOOKUP(H40,法术大全!$A$3:$E$574,4,0)="√",1,0)</f>
        <v>0</v>
      </c>
      <c r="J40" s="19">
        <f>IF(VLOOKUP(H40,法术大全!$A$3:$E$574,5,0)="√",1,0)</f>
        <v>0</v>
      </c>
      <c r="K40" s="242" t="str" cm="1">
        <f t="array" ref="K40">IFERROR(INDEX($H$1:$H$59,SMALL(IF($H$2:$H$59&lt;&gt;"",ROW($H$2:$H$59),4^8),ROW(40:40)))&amp;"","")</f>
        <v/>
      </c>
      <c r="L40" s="19"/>
      <c r="W40" s="1">
        <f>SUM(背包!S23*背包!V23)</f>
        <v>0</v>
      </c>
      <c r="X40" s="1">
        <f>SUM(背包!AP23*背包!AS23)</f>
        <v>0</v>
      </c>
      <c r="Y40" s="1">
        <f>SUM(背包!S47*背包!V47)</f>
        <v>0</v>
      </c>
      <c r="Z40" s="1">
        <f>SUM(背包!AP47*背包!AS47)</f>
        <v>0</v>
      </c>
      <c r="CN40" s="51" t="s">
        <v>417</v>
      </c>
      <c r="CO40" s="52" t="s">
        <v>3475</v>
      </c>
      <c r="CP40" s="51" t="s">
        <v>240</v>
      </c>
      <c r="CQ40" s="51">
        <v>0</v>
      </c>
    </row>
    <row r="41" spans="1:95" ht="16.5" customHeight="1">
      <c r="A41" s="19">
        <v>40</v>
      </c>
      <c r="B41" s="19" t="str">
        <f>IF(法术书!X42="","",法术书!X42)</f>
        <v/>
      </c>
      <c r="C41" s="19" t="str">
        <f>IFERROR(VLOOKUP(B41,法术大全!$A:$W,5,FALSE),"")</f>
        <v/>
      </c>
      <c r="D41" s="284" t="str">
        <f>IFERROR(VLOOKUP(B41,法术大全!$A:$W,4,FALSE),"")</f>
        <v/>
      </c>
      <c r="E41" s="19">
        <v>40</v>
      </c>
      <c r="F41" s="285" t="str">
        <f t="shared" si="0"/>
        <v/>
      </c>
      <c r="G41" s="242"/>
      <c r="H41" s="18" t="str">
        <f>IF(主要!AG77&lt;&gt;"",主要!AG77,"")</f>
        <v/>
      </c>
      <c r="I41" s="19">
        <f>IF(VLOOKUP(H41,法术大全!$A$3:$E$574,4,0)="√",1,0)</f>
        <v>0</v>
      </c>
      <c r="J41" s="19">
        <f>IF(VLOOKUP(H41,法术大全!$A$3:$E$574,5,0)="√",1,0)</f>
        <v>0</v>
      </c>
      <c r="K41" s="242" t="str" cm="1">
        <f t="array" ref="K41">IFERROR(INDEX($H$1:$H$59,SMALL(IF($H$2:$H$59&lt;&gt;"",ROW($H$2:$H$59),4^8),ROW(41:41)))&amp;"","")</f>
        <v/>
      </c>
      <c r="L41" s="19"/>
      <c r="W41" s="1">
        <f>SUM(背包!S24*背包!V24)</f>
        <v>0</v>
      </c>
      <c r="X41" s="1">
        <f>SUM(背包!AP24*背包!AS24)</f>
        <v>0</v>
      </c>
      <c r="Y41" s="1">
        <f>SUM(背包!S48*背包!V48)</f>
        <v>0</v>
      </c>
      <c r="Z41" s="1">
        <f>SUM(背包!AP48*背包!AS48)</f>
        <v>0</v>
      </c>
      <c r="CF41" s="770" t="s">
        <v>35</v>
      </c>
      <c r="CG41" s="770"/>
      <c r="CH41" s="770"/>
      <c r="CN41" s="51" t="s">
        <v>418</v>
      </c>
      <c r="CO41" s="52" t="s">
        <v>3475</v>
      </c>
      <c r="CP41" s="51" t="s">
        <v>240</v>
      </c>
      <c r="CQ41" s="51">
        <v>0</v>
      </c>
    </row>
    <row r="42" spans="1:95" ht="16.5" customHeight="1">
      <c r="A42" s="19">
        <v>41</v>
      </c>
      <c r="B42" s="19" t="str">
        <f>IF(法术书!X43="","",法术书!X43)</f>
        <v/>
      </c>
      <c r="C42" s="19" t="str">
        <f>IFERROR(VLOOKUP(B42,法术大全!$A:$W,5,FALSE),"")</f>
        <v/>
      </c>
      <c r="D42" s="284" t="str">
        <f>IFERROR(VLOOKUP(B42,法术大全!$A:$W,4,FALSE),"")</f>
        <v/>
      </c>
      <c r="E42" s="19">
        <v>41</v>
      </c>
      <c r="F42" s="285" t="str">
        <f t="shared" si="0"/>
        <v/>
      </c>
      <c r="G42" s="242"/>
      <c r="H42" s="18" t="str">
        <f>IF(主要!AG78&lt;&gt;"",主要!AG78,"")</f>
        <v/>
      </c>
      <c r="I42" s="19">
        <f>IF(VLOOKUP(H42,法术大全!$A$3:$E$574,4,0)="√",1,0)</f>
        <v>0</v>
      </c>
      <c r="J42" s="19">
        <f>IF(VLOOKUP(H42,法术大全!$A$3:$E$574,5,0)="√",1,0)</f>
        <v>0</v>
      </c>
      <c r="K42" s="242" t="str" cm="1">
        <f t="array" ref="K42">IFERROR(INDEX($H$1:$H$59,SMALL(IF($H$2:$H$59&lt;&gt;"",ROW($H$2:$H$59),4^8),ROW(42:42)))&amp;"","")</f>
        <v/>
      </c>
      <c r="L42" s="19"/>
      <c r="W42" s="1">
        <f>SUM(背包!S25*背包!V25)</f>
        <v>0</v>
      </c>
      <c r="X42" s="1">
        <f>SUM(背包!AP25*背包!AS25)</f>
        <v>0</v>
      </c>
      <c r="Y42" s="1">
        <f>SUM(背包!S49*背包!V49)</f>
        <v>0</v>
      </c>
      <c r="Z42" s="1">
        <f>SUM(背包!AP49*背包!AS49)</f>
        <v>0</v>
      </c>
      <c r="CF42" s="24" t="s">
        <v>335</v>
      </c>
      <c r="CG42" s="25" t="s">
        <v>336</v>
      </c>
      <c r="CH42" s="40" t="s">
        <v>337</v>
      </c>
      <c r="CN42" s="51" t="s">
        <v>3476</v>
      </c>
      <c r="CO42" s="52" t="s">
        <v>3475</v>
      </c>
      <c r="CP42" s="51" t="s">
        <v>214</v>
      </c>
      <c r="CQ42" s="51">
        <v>4</v>
      </c>
    </row>
    <row r="43" spans="1:95" ht="16.5" customHeight="1">
      <c r="A43" s="19">
        <v>42</v>
      </c>
      <c r="B43" s="19" t="str">
        <f>IF(法术书!X44="","",法术书!X44)</f>
        <v/>
      </c>
      <c r="C43" s="19" t="str">
        <f>IFERROR(VLOOKUP(B43,法术大全!$A:$W,5,FALSE),"")</f>
        <v/>
      </c>
      <c r="D43" s="284" t="str">
        <f>IFERROR(VLOOKUP(B43,法术大全!$A:$W,4,FALSE),"")</f>
        <v/>
      </c>
      <c r="E43" s="19">
        <v>42</v>
      </c>
      <c r="F43" s="285" t="str">
        <f t="shared" si="0"/>
        <v/>
      </c>
      <c r="G43" s="242"/>
      <c r="H43" s="18" t="str">
        <f>IF(主要!AG79&lt;&gt;"",主要!AG79,"")</f>
        <v/>
      </c>
      <c r="I43" s="19">
        <f>IF(VLOOKUP(H43,法术大全!$A$3:$E$574,4,0)="√",1,0)</f>
        <v>0</v>
      </c>
      <c r="J43" s="19">
        <f>IF(VLOOKUP(H43,法术大全!$A$3:$E$574,5,0)="√",1,0)</f>
        <v>0</v>
      </c>
      <c r="K43" s="242" t="str" cm="1">
        <f t="array" ref="K43">IFERROR(INDEX($H$1:$H$59,SMALL(IF($H$2:$H$59&lt;&gt;"",ROW($H$2:$H$59),4^8),ROW(43:43)))&amp;"","")</f>
        <v/>
      </c>
      <c r="L43" s="19"/>
      <c r="W43" s="1"/>
      <c r="X43" s="1"/>
      <c r="Y43" s="1"/>
      <c r="CF43" s="26" t="s">
        <v>341</v>
      </c>
      <c r="CG43" s="26" t="s">
        <v>342</v>
      </c>
      <c r="CH43" s="26" t="s">
        <v>343</v>
      </c>
      <c r="CN43" s="51" t="s">
        <v>3477</v>
      </c>
      <c r="CO43" s="52" t="s">
        <v>3475</v>
      </c>
      <c r="CP43" s="51" t="s">
        <v>277</v>
      </c>
      <c r="CQ43" s="51">
        <v>1</v>
      </c>
    </row>
    <row r="44" spans="1:95" ht="16.5" customHeight="1">
      <c r="A44" s="19">
        <v>43</v>
      </c>
      <c r="B44" s="19" t="str">
        <f>IF(法术书!X45="","",法术书!X45)</f>
        <v/>
      </c>
      <c r="C44" s="19" t="str">
        <f>IFERROR(VLOOKUP(B44,法术大全!$A:$W,5,FALSE),"")</f>
        <v/>
      </c>
      <c r="D44" s="284" t="str">
        <f>IFERROR(VLOOKUP(B44,法术大全!$A:$W,4,FALSE),"")</f>
        <v/>
      </c>
      <c r="E44" s="19">
        <v>43</v>
      </c>
      <c r="F44" s="285" t="str">
        <f t="shared" si="0"/>
        <v/>
      </c>
      <c r="G44" s="242"/>
      <c r="H44" s="18" t="str">
        <f>IF(主要!AG80&lt;&gt;"",主要!AG80,"")</f>
        <v/>
      </c>
      <c r="I44" s="19">
        <f>IF(VLOOKUP(H44,法术大全!$A$3:$E$574,4,0)="√",1,0)</f>
        <v>0</v>
      </c>
      <c r="J44" s="19">
        <f>IF(VLOOKUP(H44,法术大全!$A$3:$E$574,5,0)="√",1,0)</f>
        <v>0</v>
      </c>
      <c r="K44" s="242" t="str" cm="1">
        <f t="array" ref="K44">IFERROR(INDEX($H$1:$H$59,SMALL(IF($H$2:$H$59&lt;&gt;"",ROW($H$2:$H$59),4^8),ROW(44:44)))&amp;"","")</f>
        <v/>
      </c>
      <c r="L44" s="19"/>
      <c r="W44" s="1"/>
      <c r="X44" s="1"/>
      <c r="CF44" s="27" t="s">
        <v>345</v>
      </c>
      <c r="CG44" s="28" t="s">
        <v>346</v>
      </c>
      <c r="CH44" s="41" t="s">
        <v>347</v>
      </c>
      <c r="CN44" s="51" t="s">
        <v>419</v>
      </c>
      <c r="CO44" s="52" t="s">
        <v>3478</v>
      </c>
      <c r="CP44" s="51" t="s">
        <v>240</v>
      </c>
      <c r="CQ44" s="51">
        <v>4</v>
      </c>
    </row>
    <row r="45" spans="1:95" ht="16.5" customHeight="1">
      <c r="A45" s="19">
        <v>44</v>
      </c>
      <c r="B45" s="19" t="str">
        <f>IF(法术书!X46="","",法术书!X46)</f>
        <v/>
      </c>
      <c r="C45" s="19" t="str">
        <f>IFERROR(VLOOKUP(B45,法术大全!$A:$W,5,FALSE),"")</f>
        <v/>
      </c>
      <c r="D45" s="284" t="str">
        <f>IFERROR(VLOOKUP(B45,法术大全!$A:$W,4,FALSE),"")</f>
        <v/>
      </c>
      <c r="E45" s="19">
        <v>44</v>
      </c>
      <c r="F45" s="285" t="str">
        <f t="shared" si="0"/>
        <v/>
      </c>
      <c r="G45" s="242"/>
      <c r="H45" s="18" t="str">
        <f>IF(主要!AO66&lt;&gt;"",主要!AO66,"")</f>
        <v/>
      </c>
      <c r="I45" s="19">
        <f>IF(VLOOKUP(H45,法术大全!$A$3:$E$574,4,0)="√",1,0)</f>
        <v>0</v>
      </c>
      <c r="J45" s="19">
        <f>IF(VLOOKUP(H45,法术大全!$A$3:$E$574,5,0)="√",1,0)</f>
        <v>0</v>
      </c>
      <c r="K45" s="242" t="str" cm="1">
        <f t="array" ref="K45">IFERROR(INDEX($H$1:$H$59,SMALL(IF($H$2:$H$59&lt;&gt;"",ROW($H$2:$H$59),4^8),ROW(45:45)))&amp;"","")</f>
        <v/>
      </c>
      <c r="L45" s="19"/>
      <c r="W45" s="1"/>
      <c r="X45" s="1"/>
      <c r="CN45" s="51" t="s">
        <v>420</v>
      </c>
      <c r="CO45" s="54" t="s">
        <v>3479</v>
      </c>
      <c r="CP45" s="51" t="s">
        <v>3480</v>
      </c>
      <c r="CQ45" s="51">
        <v>1</v>
      </c>
    </row>
    <row r="46" spans="1:95" ht="16.5" customHeight="1">
      <c r="A46" s="19">
        <v>45</v>
      </c>
      <c r="B46" s="19" t="str">
        <f>IF(法术书!X47="","",法术书!X47)</f>
        <v/>
      </c>
      <c r="C46" s="19" t="str">
        <f>IFERROR(VLOOKUP(B46,法术大全!$A:$W,5,FALSE),"")</f>
        <v/>
      </c>
      <c r="D46" s="284" t="str">
        <f>IFERROR(VLOOKUP(B46,法术大全!$A:$W,4,FALSE),"")</f>
        <v/>
      </c>
      <c r="E46" s="19">
        <v>45</v>
      </c>
      <c r="F46" s="285" t="str">
        <f t="shared" si="0"/>
        <v/>
      </c>
      <c r="G46" s="242"/>
      <c r="H46" s="18" t="str">
        <f>IF(主要!AO67&lt;&gt;"",主要!AO67,"")</f>
        <v/>
      </c>
      <c r="I46" s="19">
        <f>IF(VLOOKUP(H46,法术大全!$A$3:$E$574,4,0)="√",1,0)</f>
        <v>0</v>
      </c>
      <c r="J46" s="19">
        <f>IF(VLOOKUP(H46,法术大全!$A$3:$E$574,5,0)="√",1,0)</f>
        <v>0</v>
      </c>
      <c r="K46" s="242" t="str" cm="1">
        <f t="array" ref="K46">IFERROR(INDEX($H$1:$H$59,SMALL(IF($H$2:$H$59&lt;&gt;"",ROW($H$2:$H$59),4^8),ROW(46:46)))&amp;"","")</f>
        <v/>
      </c>
      <c r="L46" s="19"/>
      <c r="CI46" s="18" t="s">
        <v>124</v>
      </c>
      <c r="CJ46" s="18" t="s">
        <v>349</v>
      </c>
      <c r="CN46" s="51" t="s">
        <v>421</v>
      </c>
      <c r="CO46" s="52" t="s">
        <v>81</v>
      </c>
      <c r="CP46" s="51" t="s">
        <v>202</v>
      </c>
      <c r="CQ46" s="51">
        <v>4</v>
      </c>
    </row>
    <row r="47" spans="1:95" ht="16.5" customHeight="1">
      <c r="A47" s="19">
        <v>46</v>
      </c>
      <c r="B47" s="19" t="str">
        <f>IF(法术书!X48="","",法术书!X48)</f>
        <v/>
      </c>
      <c r="C47" s="19" t="str">
        <f>IFERROR(VLOOKUP(B47,法术大全!$A:$W,5,FALSE),"")</f>
        <v/>
      </c>
      <c r="D47" s="284" t="str">
        <f>IFERROR(VLOOKUP(B47,法术大全!$A:$W,4,FALSE),"")</f>
        <v/>
      </c>
      <c r="E47" s="19">
        <v>46</v>
      </c>
      <c r="F47" s="285" t="str">
        <f t="shared" si="0"/>
        <v/>
      </c>
      <c r="G47" s="19"/>
      <c r="H47" s="18" t="str">
        <f>IF(主要!AO68&lt;&gt;"",主要!AO68,"")</f>
        <v/>
      </c>
      <c r="I47" s="19">
        <f>IF(VLOOKUP(H47,法术大全!$A$3:$E$574,4,0)="√",1,0)</f>
        <v>0</v>
      </c>
      <c r="J47" s="19">
        <f>IF(VLOOKUP(H47,法术大全!$A$3:$E$574,5,0)="√",1,0)</f>
        <v>0</v>
      </c>
      <c r="K47" s="242" t="str" cm="1">
        <f t="array" ref="K47">IFERROR(INDEX($H$1:$H$59,SMALL(IF($H$2:$H$59&lt;&gt;"",ROW($H$2:$H$59),4^8),ROW(47:47)))&amp;"","")</f>
        <v/>
      </c>
      <c r="L47" s="19"/>
      <c r="CI47" s="18">
        <v>1</v>
      </c>
      <c r="CJ47" s="18">
        <v>2</v>
      </c>
      <c r="CN47" s="51" t="s">
        <v>422</v>
      </c>
      <c r="CO47" s="52" t="s">
        <v>81</v>
      </c>
      <c r="CP47" s="51" t="s">
        <v>240</v>
      </c>
      <c r="CQ47" s="51">
        <v>3</v>
      </c>
    </row>
    <row r="48" spans="1:95" ht="16.5" customHeight="1">
      <c r="A48" s="19">
        <v>47</v>
      </c>
      <c r="B48" s="19" t="str">
        <f>IF(法术书!X49="","",法术书!X49)</f>
        <v/>
      </c>
      <c r="C48" s="19" t="str">
        <f>IFERROR(VLOOKUP(B48,法术大全!$A:$W,5,FALSE),"")</f>
        <v/>
      </c>
      <c r="D48" s="284" t="str">
        <f>IFERROR(VLOOKUP(B48,法术大全!$A:$W,4,FALSE),"")</f>
        <v/>
      </c>
      <c r="E48" s="19">
        <v>47</v>
      </c>
      <c r="F48" s="285" t="str">
        <f t="shared" si="0"/>
        <v/>
      </c>
      <c r="G48" s="19"/>
      <c r="H48" s="18" t="str">
        <f>IF(主要!AO69&lt;&gt;"",主要!AO69,"")</f>
        <v/>
      </c>
      <c r="I48" s="19">
        <f>IF(VLOOKUP(H48,法术大全!$A$3:$E$574,4,0)="√",1,0)</f>
        <v>0</v>
      </c>
      <c r="J48" s="19">
        <f>IF(VLOOKUP(H48,法术大全!$A$3:$E$574,5,0)="√",1,0)</f>
        <v>0</v>
      </c>
      <c r="K48" s="242" t="str" cm="1">
        <f t="array" ref="K48">IFERROR(INDEX($H$1:$H$59,SMALL(IF($H$2:$H$59&lt;&gt;"",ROW($H$2:$H$59),4^8),ROW(48:48)))&amp;"","")</f>
        <v/>
      </c>
      <c r="L48" s="19"/>
      <c r="CI48" s="18">
        <v>2</v>
      </c>
      <c r="CJ48" s="18">
        <v>2</v>
      </c>
      <c r="CN48" s="53" t="s">
        <v>3481</v>
      </c>
      <c r="CO48" s="52" t="s">
        <v>81</v>
      </c>
      <c r="CP48" s="51" t="s">
        <v>202</v>
      </c>
      <c r="CQ48" s="51">
        <v>10</v>
      </c>
    </row>
    <row r="49" spans="1:95" ht="16.5" customHeight="1">
      <c r="A49" s="19">
        <v>48</v>
      </c>
      <c r="B49" s="19" t="str">
        <f>IF(法术书!X50="","",法术书!X50)</f>
        <v/>
      </c>
      <c r="C49" s="19" t="str">
        <f>IFERROR(VLOOKUP(B49,法术大全!$A:$W,5,FALSE),"")</f>
        <v/>
      </c>
      <c r="D49" s="284" t="str">
        <f>IFERROR(VLOOKUP(B49,法术大全!$A:$W,4,FALSE),"")</f>
        <v/>
      </c>
      <c r="E49" s="19">
        <v>48</v>
      </c>
      <c r="F49" s="285" t="str">
        <f t="shared" si="0"/>
        <v/>
      </c>
      <c r="G49" s="19"/>
      <c r="H49" s="18" t="str">
        <f>IF(主要!AO70&lt;&gt;"",主要!AO70,"")</f>
        <v/>
      </c>
      <c r="I49" s="19">
        <f>IF(VLOOKUP(H49,法术大全!$A$3:$E$574,4,0)="√",1,0)</f>
        <v>0</v>
      </c>
      <c r="J49" s="19">
        <f>IF(VLOOKUP(H49,法术大全!$A$3:$E$574,5,0)="√",1,0)</f>
        <v>0</v>
      </c>
      <c r="K49" s="242" t="str" cm="1">
        <f t="array" ref="K49">IFERROR(INDEX($H$1:$H$59,SMALL(IF($H$2:$H$59&lt;&gt;"",ROW($H$2:$H$59),4^8),ROW(49:49)))&amp;"","")</f>
        <v/>
      </c>
      <c r="L49" s="19"/>
      <c r="CI49" s="18">
        <v>3</v>
      </c>
      <c r="CJ49" s="18">
        <v>2</v>
      </c>
      <c r="CN49" s="51" t="s">
        <v>423</v>
      </c>
      <c r="CO49" s="52" t="s">
        <v>3482</v>
      </c>
      <c r="CP49" s="51" t="s">
        <v>214</v>
      </c>
      <c r="CQ49" s="51">
        <v>3</v>
      </c>
    </row>
    <row r="50" spans="1:95" ht="16.5" customHeight="1">
      <c r="A50" s="19">
        <v>49</v>
      </c>
      <c r="B50" s="19" t="str">
        <f>IF(法术书!X51="","",法术书!X51)</f>
        <v/>
      </c>
      <c r="C50" s="19" t="str">
        <f>IFERROR(VLOOKUP(B50,法术大全!$A:$W,5,FALSE),"")</f>
        <v/>
      </c>
      <c r="D50" s="284" t="str">
        <f>IFERROR(VLOOKUP(B50,法术大全!$A:$W,4,FALSE),"")</f>
        <v/>
      </c>
      <c r="E50" s="19">
        <v>49</v>
      </c>
      <c r="F50" s="285" t="str">
        <f t="shared" si="0"/>
        <v/>
      </c>
      <c r="G50" s="19"/>
      <c r="H50" s="18" t="str">
        <f>IF(主要!AO71&lt;&gt;"",主要!AO71,"")</f>
        <v/>
      </c>
      <c r="I50" s="19">
        <f>IF(VLOOKUP(H50,法术大全!$A$3:$E$574,4,0)="√",1,0)</f>
        <v>0</v>
      </c>
      <c r="J50" s="19">
        <f>IF(VLOOKUP(H50,法术大全!$A$3:$E$574,5,0)="√",1,0)</f>
        <v>0</v>
      </c>
      <c r="K50" s="242" t="str" cm="1">
        <f t="array" ref="K50">IFERROR(INDEX($H$1:$H$59,SMALL(IF($H$2:$H$59&lt;&gt;"",ROW($H$2:$H$59),4^8),ROW(50:50)))&amp;"","")</f>
        <v/>
      </c>
      <c r="L50" s="19"/>
      <c r="CI50" s="18">
        <v>4</v>
      </c>
      <c r="CJ50" s="18">
        <v>2</v>
      </c>
      <c r="CN50" s="51" t="s">
        <v>424</v>
      </c>
      <c r="CO50" s="52" t="s">
        <v>3483</v>
      </c>
      <c r="CP50" s="51" t="s">
        <v>214</v>
      </c>
      <c r="CQ50" s="51">
        <v>1</v>
      </c>
    </row>
    <row r="51" spans="1:95" ht="16.5" customHeight="1">
      <c r="A51" s="19">
        <v>50</v>
      </c>
      <c r="B51" s="19" t="str">
        <f>IF(法术书!X52="","",法术书!X52)</f>
        <v/>
      </c>
      <c r="C51" s="19" t="str">
        <f>IFERROR(VLOOKUP(B51,法术大全!$A:$W,5,FALSE),"")</f>
        <v/>
      </c>
      <c r="D51" s="284" t="str">
        <f>IFERROR(VLOOKUP(B51,法术大全!$A:$W,4,FALSE),"")</f>
        <v/>
      </c>
      <c r="E51" s="19">
        <v>50</v>
      </c>
      <c r="F51" s="285" t="str">
        <f t="shared" si="0"/>
        <v/>
      </c>
      <c r="G51" s="19"/>
      <c r="H51" s="18" t="str">
        <f>IF(主要!AO72&lt;&gt;"",主要!AO72,"")</f>
        <v/>
      </c>
      <c r="I51" s="19">
        <f>IF(VLOOKUP(H51,法术大全!$A$3:$E$574,4,0)="√",1,0)</f>
        <v>0</v>
      </c>
      <c r="J51" s="19">
        <f>IF(VLOOKUP(H51,法术大全!$A$3:$E$574,5,0)="√",1,0)</f>
        <v>0</v>
      </c>
      <c r="K51" s="242" t="str" cm="1">
        <f t="array" ref="K51">IFERROR(INDEX($H$1:$H$59,SMALL(IF($H$2:$H$59&lt;&gt;"",ROW($H$2:$H$59),4^8),ROW(51:51)))&amp;"","")</f>
        <v/>
      </c>
      <c r="L51" s="19"/>
      <c r="CI51" s="18">
        <v>5</v>
      </c>
      <c r="CJ51" s="18">
        <v>3</v>
      </c>
      <c r="CN51" s="51" t="s">
        <v>425</v>
      </c>
      <c r="CO51" s="52" t="s">
        <v>3483</v>
      </c>
      <c r="CP51" s="51" t="s">
        <v>214</v>
      </c>
      <c r="CQ51" s="51">
        <v>0</v>
      </c>
    </row>
    <row r="52" spans="1:95" ht="16.5" customHeight="1">
      <c r="A52" s="19">
        <v>51</v>
      </c>
      <c r="B52" s="19" t="str">
        <f>IF(法术书!AC3="","",法术书!AC3)</f>
        <v/>
      </c>
      <c r="C52" s="19" t="str">
        <f>IFERROR(VLOOKUP(B52,法术大全!$A:$W,5,FALSE),"")</f>
        <v/>
      </c>
      <c r="D52" s="284" t="str">
        <f>IFERROR(VLOOKUP(B52,法术大全!$A:$W,4,FALSE),"")</f>
        <v/>
      </c>
      <c r="E52" s="19">
        <v>51</v>
      </c>
      <c r="F52" s="285" t="str">
        <f t="shared" ref="F52:F65" si="1">B52</f>
        <v/>
      </c>
      <c r="G52" s="19"/>
      <c r="H52" s="18" t="str">
        <f>IF(主要!AO73&lt;&gt;"",主要!AO73,"")</f>
        <v/>
      </c>
      <c r="I52" s="19">
        <f>IF(VLOOKUP(H52,法术大全!$A$3:$E$574,4,0)="√",1,0)</f>
        <v>0</v>
      </c>
      <c r="J52" s="19">
        <f>IF(VLOOKUP(H52,法术大全!$A$3:$E$574,5,0)="√",1,0)</f>
        <v>0</v>
      </c>
      <c r="K52" s="242" t="str" cm="1">
        <f t="array" ref="K52">IFERROR(INDEX($H$1:$H$59,SMALL(IF($H$2:$H$59&lt;&gt;"",ROW($H$2:$H$59),4^8),ROW(52:52)))&amp;"","")</f>
        <v/>
      </c>
      <c r="L52" s="19"/>
      <c r="CI52" s="18">
        <v>6</v>
      </c>
      <c r="CJ52" s="18">
        <v>3</v>
      </c>
      <c r="CN52" s="51" t="s">
        <v>426</v>
      </c>
      <c r="CO52" s="52" t="s">
        <v>3483</v>
      </c>
      <c r="CP52" s="51" t="s">
        <v>214</v>
      </c>
      <c r="CQ52" s="51">
        <v>2</v>
      </c>
    </row>
    <row r="53" spans="1:95" ht="16.5" customHeight="1">
      <c r="A53" s="19">
        <v>52</v>
      </c>
      <c r="B53" s="19" t="str">
        <f>IF(法术书!AC4="","",法术书!AC4)</f>
        <v/>
      </c>
      <c r="C53" s="19" t="str">
        <f>IFERROR(VLOOKUP(B53,法术大全!$A:$W,5,FALSE),"")</f>
        <v/>
      </c>
      <c r="D53" s="284" t="str">
        <f>IFERROR(VLOOKUP(B53,法术大全!$A:$W,4,FALSE),"")</f>
        <v/>
      </c>
      <c r="E53" s="19">
        <v>52</v>
      </c>
      <c r="F53" s="285" t="str">
        <f t="shared" si="1"/>
        <v/>
      </c>
      <c r="G53" s="19"/>
      <c r="H53" s="18" t="str">
        <f>IF(主要!AO74&lt;&gt;"",主要!AO74,"")</f>
        <v/>
      </c>
      <c r="I53" s="19">
        <f>IF(VLOOKUP(H53,法术大全!$A$3:$E$574,4,0)="√",1,0)</f>
        <v>0</v>
      </c>
      <c r="J53" s="19">
        <f>IF(VLOOKUP(H53,法术大全!$A$3:$E$574,5,0)="√",1,0)</f>
        <v>0</v>
      </c>
      <c r="K53" s="242" t="str" cm="1">
        <f t="array" ref="K53">IFERROR(INDEX($H$1:$H$59,SMALL(IF($H$2:$H$59&lt;&gt;"",ROW($H$2:$H$59),4^8),ROW(53:53)))&amp;"","")</f>
        <v/>
      </c>
      <c r="L53" s="19"/>
      <c r="CI53" s="18">
        <v>7</v>
      </c>
      <c r="CJ53" s="18">
        <v>3</v>
      </c>
      <c r="CN53" s="51" t="s">
        <v>3484</v>
      </c>
      <c r="CO53" s="55" t="s">
        <v>3485</v>
      </c>
      <c r="CP53" s="51" t="s">
        <v>253</v>
      </c>
      <c r="CQ53" s="51">
        <v>1</v>
      </c>
    </row>
    <row r="54" spans="1:95" ht="16.5" customHeight="1">
      <c r="A54" s="19">
        <v>53</v>
      </c>
      <c r="B54" s="19" t="str">
        <f>IF(法术书!AC5="","",法术书!AC5)</f>
        <v/>
      </c>
      <c r="C54" s="19" t="str">
        <f>IFERROR(VLOOKUP(B54,法术大全!$A:$W,5,FALSE),"")</f>
        <v/>
      </c>
      <c r="D54" s="284" t="str">
        <f>IFERROR(VLOOKUP(B54,法术大全!$A:$W,4,FALSE),"")</f>
        <v/>
      </c>
      <c r="E54" s="19">
        <v>53</v>
      </c>
      <c r="F54" s="285" t="str">
        <f t="shared" si="1"/>
        <v/>
      </c>
      <c r="G54" s="19"/>
      <c r="H54" s="18" t="str">
        <f>IF(主要!AO75&lt;&gt;"",主要!AO75,"")</f>
        <v/>
      </c>
      <c r="I54" s="19">
        <f>IF(VLOOKUP(H54,法术大全!$A$3:$E$574,4,0)="√",1,0)</f>
        <v>0</v>
      </c>
      <c r="J54" s="19">
        <f>IF(VLOOKUP(H54,法术大全!$A$3:$E$574,5,0)="√",1,0)</f>
        <v>0</v>
      </c>
      <c r="K54" s="242" t="str" cm="1">
        <f t="array" ref="K54">IFERROR(INDEX($H$1:$H$59,SMALL(IF($H$2:$H$59&lt;&gt;"",ROW($H$2:$H$59),4^8),ROW(54:54)))&amp;"","")</f>
        <v/>
      </c>
      <c r="L54" s="19"/>
      <c r="CI54" s="18">
        <v>8</v>
      </c>
      <c r="CJ54" s="18">
        <v>3</v>
      </c>
      <c r="CN54" s="51" t="s">
        <v>427</v>
      </c>
      <c r="CO54" s="52" t="s">
        <v>81</v>
      </c>
      <c r="CP54" s="51" t="s">
        <v>253</v>
      </c>
      <c r="CQ54" s="51">
        <v>1</v>
      </c>
    </row>
    <row r="55" spans="1:95" ht="16.5" customHeight="1">
      <c r="A55" s="19">
        <v>54</v>
      </c>
      <c r="B55" s="19" t="str">
        <f>IF(法术书!AC6="","",法术书!AC6)</f>
        <v/>
      </c>
      <c r="C55" s="19" t="str">
        <f>IFERROR(VLOOKUP(B55,法术大全!$A:$W,5,FALSE),"")</f>
        <v/>
      </c>
      <c r="D55" s="284" t="str">
        <f>IFERROR(VLOOKUP(B55,法术大全!$A:$W,4,FALSE),"")</f>
        <v/>
      </c>
      <c r="E55" s="19">
        <v>54</v>
      </c>
      <c r="F55" s="285" t="str">
        <f t="shared" si="1"/>
        <v/>
      </c>
      <c r="G55" s="19"/>
      <c r="H55" s="18" t="str">
        <f>IF(主要!AO76&lt;&gt;"",主要!AO76,"")</f>
        <v/>
      </c>
      <c r="I55" s="19">
        <f>IF(VLOOKUP(H55,法术大全!$A$3:$E$574,4,0)="√",1,0)</f>
        <v>0</v>
      </c>
      <c r="J55" s="19">
        <f>IF(VLOOKUP(H55,法术大全!$A$3:$E$574,5,0)="√",1,0)</f>
        <v>0</v>
      </c>
      <c r="K55" s="242" t="str" cm="1">
        <f t="array" ref="K55">IFERROR(INDEX($H$1:$H$59,SMALL(IF($H$2:$H$59&lt;&gt;"",ROW($H$2:$H$59),4^8),ROW(55:55)))&amp;"","")</f>
        <v/>
      </c>
      <c r="L55" s="19"/>
      <c r="CF55" s="18" t="s">
        <v>80</v>
      </c>
      <c r="CG55" s="18">
        <f>VLOOKUP(CF55,主要!C:J,7,FALSE)</f>
        <v>0</v>
      </c>
      <c r="CI55" s="18">
        <v>9</v>
      </c>
      <c r="CJ55" s="18">
        <v>4</v>
      </c>
      <c r="CN55" s="51" t="s">
        <v>428</v>
      </c>
      <c r="CO55" s="52" t="s">
        <v>3486</v>
      </c>
      <c r="CP55" s="51" t="s">
        <v>214</v>
      </c>
      <c r="CQ55" s="51">
        <v>25</v>
      </c>
    </row>
    <row r="56" spans="1:95" ht="16.5" customHeight="1">
      <c r="A56" s="19">
        <v>55</v>
      </c>
      <c r="B56" s="19" t="str">
        <f>IF(法术书!AC7="","",法术书!AC7)</f>
        <v/>
      </c>
      <c r="C56" s="19" t="str">
        <f>IFERROR(VLOOKUP(B56,法术大全!$A:$W,5,FALSE),"")</f>
        <v/>
      </c>
      <c r="D56" s="284" t="str">
        <f>IFERROR(VLOOKUP(B56,法术大全!$A:$W,4,FALSE),"")</f>
        <v/>
      </c>
      <c r="E56" s="19">
        <v>55</v>
      </c>
      <c r="F56" s="285" t="str">
        <f t="shared" si="1"/>
        <v/>
      </c>
      <c r="G56" s="19"/>
      <c r="H56" s="18" t="str">
        <f>IF(主要!AO77&lt;&gt;"",主要!AO77,"")</f>
        <v/>
      </c>
      <c r="I56" s="19">
        <f>IF(VLOOKUP(H56,法术大全!$A$3:$E$574,4,0)="√",1,0)</f>
        <v>0</v>
      </c>
      <c r="J56" s="19">
        <f>IF(VLOOKUP(H56,法术大全!$A$3:$E$574,5,0)="√",1,0)</f>
        <v>0</v>
      </c>
      <c r="K56" s="242" t="str" cm="1">
        <f t="array" ref="K56">IFERROR(INDEX($H$1:$H$59,SMALL(IF($H$2:$H$59&lt;&gt;"",ROW($H$2:$H$59),4^8),ROW(56:56)))&amp;"","")</f>
        <v/>
      </c>
      <c r="L56" s="19"/>
      <c r="CF56" s="18" t="s">
        <v>87</v>
      </c>
      <c r="CG56" s="18">
        <f>VLOOKUP(CF56,主要!C:J,7,FALSE)</f>
        <v>0</v>
      </c>
      <c r="CI56" s="18">
        <v>10</v>
      </c>
      <c r="CJ56" s="18">
        <v>4</v>
      </c>
      <c r="CN56" s="51" t="s">
        <v>3487</v>
      </c>
      <c r="CO56" s="52" t="s">
        <v>81</v>
      </c>
      <c r="CP56" s="51" t="s">
        <v>277</v>
      </c>
      <c r="CQ56" s="51">
        <v>0</v>
      </c>
    </row>
    <row r="57" spans="1:95" ht="16.5" customHeight="1">
      <c r="A57" s="19">
        <v>56</v>
      </c>
      <c r="B57" s="19" t="str">
        <f>IF(法术书!AC8="","",法术书!AC8)</f>
        <v/>
      </c>
      <c r="C57" s="19" t="str">
        <f>IFERROR(VLOOKUP(B57,法术大全!$A:$W,5,FALSE),"")</f>
        <v/>
      </c>
      <c r="D57" s="284" t="str">
        <f>IFERROR(VLOOKUP(B57,法术大全!$A:$W,4,FALSE),"")</f>
        <v/>
      </c>
      <c r="E57" s="19">
        <v>56</v>
      </c>
      <c r="F57" s="285" t="str">
        <f t="shared" si="1"/>
        <v/>
      </c>
      <c r="G57" s="19"/>
      <c r="H57" s="18" t="str">
        <f>IF(主要!AO78&lt;&gt;"",主要!AO78,"")</f>
        <v/>
      </c>
      <c r="I57" s="19">
        <f>IF(VLOOKUP(H57,法术大全!$A$3:$E$574,4,0)="√",1,0)</f>
        <v>0</v>
      </c>
      <c r="J57" s="19">
        <f>IF(VLOOKUP(H57,法术大全!$A$3:$E$574,5,0)="√",1,0)</f>
        <v>0</v>
      </c>
      <c r="K57" s="242" t="str" cm="1">
        <f t="array" ref="K57">IFERROR(INDEX($H$1:$H$59,SMALL(IF($H$2:$H$59&lt;&gt;"",ROW($H$2:$H$59),4^8),ROW(57:57)))&amp;"","")</f>
        <v/>
      </c>
      <c r="L57" s="19"/>
      <c r="CF57" s="18" t="s">
        <v>89</v>
      </c>
      <c r="CG57" s="18">
        <f>VLOOKUP(CF57,主要!C:J,7,FALSE)</f>
        <v>0</v>
      </c>
      <c r="CI57" s="18">
        <v>11</v>
      </c>
      <c r="CJ57" s="18">
        <v>4</v>
      </c>
      <c r="CN57" s="51" t="s">
        <v>429</v>
      </c>
      <c r="CO57" s="52" t="s">
        <v>81</v>
      </c>
      <c r="CP57" s="51" t="s">
        <v>3480</v>
      </c>
      <c r="CQ57" s="51">
        <v>0</v>
      </c>
    </row>
    <row r="58" spans="1:95" ht="16.5" customHeight="1">
      <c r="A58" s="19">
        <v>57</v>
      </c>
      <c r="B58" s="19" t="str">
        <f>IF(法术书!AC9="","",法术书!AC9)</f>
        <v/>
      </c>
      <c r="C58" s="19" t="str">
        <f>IFERROR(VLOOKUP(B58,法术大全!$A:$W,5,FALSE),"")</f>
        <v/>
      </c>
      <c r="D58" s="284" t="str">
        <f>IFERROR(VLOOKUP(B58,法术大全!$A:$W,4,FALSE),"")</f>
        <v/>
      </c>
      <c r="E58" s="19">
        <v>57</v>
      </c>
      <c r="F58" s="285" t="str">
        <f t="shared" si="1"/>
        <v/>
      </c>
      <c r="G58" s="19"/>
      <c r="H58" s="18" t="str">
        <f>IF(主要!AO79&lt;&gt;"",主要!AO79,"")</f>
        <v/>
      </c>
      <c r="I58" s="19">
        <f>IF(VLOOKUP(H58,法术大全!$A$3:$E$574,4,0)="√",1,0)</f>
        <v>0</v>
      </c>
      <c r="J58" s="19">
        <f>IF(VLOOKUP(H58,法术大全!$A$3:$E$574,5,0)="√",1,0)</f>
        <v>0</v>
      </c>
      <c r="K58" s="242" t="str" cm="1">
        <f t="array" ref="K58">IFERROR(INDEX($H$1:$H$59,SMALL(IF($H$2:$H$59&lt;&gt;"",ROW($H$2:$H$59),4^8),ROW(58:58)))&amp;"","")</f>
        <v/>
      </c>
      <c r="L58" s="19"/>
      <c r="CF58" s="18" t="s">
        <v>91</v>
      </c>
      <c r="CG58" s="18">
        <f>VLOOKUP(CF58,主要!C:J,7,FALSE)</f>
        <v>0</v>
      </c>
      <c r="CI58" s="18">
        <v>12</v>
      </c>
      <c r="CJ58" s="18">
        <v>4</v>
      </c>
      <c r="CN58" s="51" t="s">
        <v>430</v>
      </c>
      <c r="CO58" s="52" t="s">
        <v>81</v>
      </c>
      <c r="CP58" s="51" t="s">
        <v>3480</v>
      </c>
      <c r="CQ58" s="51">
        <v>4</v>
      </c>
    </row>
    <row r="59" spans="1:95" ht="16.5" customHeight="1">
      <c r="A59" s="19">
        <v>58</v>
      </c>
      <c r="B59" s="19" t="str">
        <f>IF(法术书!AC10="","",法术书!AC10)</f>
        <v/>
      </c>
      <c r="C59" s="19" t="str">
        <f>IFERROR(VLOOKUP(B59,法术大全!$A:$W,5,FALSE),"")</f>
        <v/>
      </c>
      <c r="D59" s="284" t="str">
        <f>IFERROR(VLOOKUP(B59,法术大全!$A:$W,4,FALSE),"")</f>
        <v/>
      </c>
      <c r="E59" s="19">
        <v>58</v>
      </c>
      <c r="F59" s="285" t="str">
        <f t="shared" si="1"/>
        <v/>
      </c>
      <c r="G59" s="19"/>
      <c r="H59" s="18" t="str">
        <f>IF(主要!AO80&lt;&gt;"",主要!AO80,"")</f>
        <v/>
      </c>
      <c r="I59" s="19">
        <f>IF(VLOOKUP(H59,法术大全!$A$3:$E$574,4,0)="√",1,0)</f>
        <v>0</v>
      </c>
      <c r="J59" s="19">
        <f>IF(VLOOKUP(H59,法术大全!$A$3:$E$574,5,0)="√",1,0)</f>
        <v>0</v>
      </c>
      <c r="K59" s="242" t="str" cm="1">
        <f t="array" ref="K59">IFERROR(INDEX($H$1:$H$59,SMALL(IF($H$2:$H$59&lt;&gt;"",ROW($H$2:$H$59),4^8),ROW(59:59)))&amp;"","")</f>
        <v/>
      </c>
      <c r="L59" s="19"/>
      <c r="CF59" s="18" t="s">
        <v>94</v>
      </c>
      <c r="CG59" s="18">
        <f>VLOOKUP(CF59,主要!C:J,7,FALSE)</f>
        <v>0</v>
      </c>
      <c r="CI59" s="18">
        <v>13</v>
      </c>
      <c r="CJ59" s="18">
        <v>5</v>
      </c>
      <c r="CN59" s="51" t="s">
        <v>3488</v>
      </c>
      <c r="CO59" s="52" t="s">
        <v>81</v>
      </c>
      <c r="CP59" s="51" t="s">
        <v>3489</v>
      </c>
      <c r="CQ59" s="51">
        <v>25</v>
      </c>
    </row>
    <row r="60" spans="1:95" ht="16.5" customHeight="1">
      <c r="A60" s="19">
        <v>59</v>
      </c>
      <c r="B60" s="19" t="str">
        <f>IF(法术书!AC11="","",法术书!AC11)</f>
        <v/>
      </c>
      <c r="C60" s="19" t="str">
        <f>IFERROR(VLOOKUP(B60,法术大全!$A:$W,5,FALSE),"")</f>
        <v/>
      </c>
      <c r="D60" s="284" t="str">
        <f>IFERROR(VLOOKUP(B60,法术大全!$A:$W,4,FALSE),"")</f>
        <v/>
      </c>
      <c r="E60" s="19">
        <v>59</v>
      </c>
      <c r="F60" s="285" t="str">
        <f t="shared" si="1"/>
        <v/>
      </c>
      <c r="G60" s="19"/>
      <c r="H60" s="19"/>
      <c r="I60" s="19"/>
      <c r="J60" s="19"/>
      <c r="K60" s="19"/>
      <c r="L60" s="19"/>
      <c r="W60" s="1"/>
      <c r="X60" s="1"/>
      <c r="CF60" s="18" t="s">
        <v>96</v>
      </c>
      <c r="CG60" s="18">
        <f>VLOOKUP(CF60,主要!C:J,7,FALSE)</f>
        <v>0</v>
      </c>
      <c r="CI60" s="18">
        <v>14</v>
      </c>
      <c r="CJ60" s="18">
        <v>5</v>
      </c>
      <c r="CN60" s="51" t="s">
        <v>431</v>
      </c>
      <c r="CO60" s="52" t="s">
        <v>3490</v>
      </c>
      <c r="CP60" s="51" t="s">
        <v>3456</v>
      </c>
      <c r="CQ60" s="51">
        <v>1</v>
      </c>
    </row>
    <row r="61" spans="1:95" ht="16.5" customHeight="1">
      <c r="A61" s="19">
        <v>60</v>
      </c>
      <c r="B61" s="19" t="str">
        <f>IF(法术书!AC12="","",法术书!AC12)</f>
        <v/>
      </c>
      <c r="C61" s="19" t="str">
        <f>IFERROR(VLOOKUP(B61,法术大全!$A:$W,5,FALSE),"")</f>
        <v/>
      </c>
      <c r="D61" s="284" t="str">
        <f>IFERROR(VLOOKUP(B61,法术大全!$A:$W,4,FALSE),"")</f>
        <v/>
      </c>
      <c r="E61" s="19">
        <v>60</v>
      </c>
      <c r="F61" s="285" t="str">
        <f t="shared" si="1"/>
        <v/>
      </c>
      <c r="G61" s="19"/>
      <c r="H61" s="19"/>
      <c r="I61" s="19"/>
      <c r="J61" s="19"/>
      <c r="K61" s="19"/>
      <c r="L61" s="19"/>
      <c r="W61" s="1"/>
      <c r="X61" s="1"/>
      <c r="CF61" s="18" t="s">
        <v>97</v>
      </c>
      <c r="CG61" s="18">
        <f>VLOOKUP(CF61,主要!C:J,7,FALSE)</f>
        <v>0</v>
      </c>
      <c r="CI61" s="18">
        <v>15</v>
      </c>
      <c r="CJ61" s="18">
        <v>5</v>
      </c>
      <c r="CN61" s="51" t="s">
        <v>432</v>
      </c>
      <c r="CO61" s="52" t="s">
        <v>3491</v>
      </c>
      <c r="CP61" s="51" t="s">
        <v>277</v>
      </c>
      <c r="CQ61" s="51">
        <v>2</v>
      </c>
    </row>
    <row r="62" spans="1:95" ht="16.5" customHeight="1">
      <c r="A62" s="19">
        <v>61</v>
      </c>
      <c r="B62" s="19" t="str">
        <f>IF(法术书!AC13="","",法术书!AC13)</f>
        <v/>
      </c>
      <c r="C62" s="19" t="str">
        <f>IFERROR(VLOOKUP(B62,法术大全!$A:$W,5,FALSE),"")</f>
        <v/>
      </c>
      <c r="D62" s="284" t="str">
        <f>IFERROR(VLOOKUP(B62,法术大全!$A:$W,4,FALSE),"")</f>
        <v/>
      </c>
      <c r="E62" s="19">
        <v>61</v>
      </c>
      <c r="F62" s="285" t="str">
        <f t="shared" si="1"/>
        <v/>
      </c>
      <c r="G62" s="19"/>
      <c r="H62" s="19"/>
      <c r="I62" s="19"/>
      <c r="J62" s="19"/>
      <c r="K62" s="19"/>
      <c r="L62" s="19"/>
      <c r="W62" s="1"/>
      <c r="X62" s="1"/>
      <c r="CF62" s="18" t="s">
        <v>99</v>
      </c>
      <c r="CG62" s="18">
        <f>VLOOKUP(CF62,主要!C:J,7,FALSE)</f>
        <v>0</v>
      </c>
      <c r="CI62" s="18">
        <v>16</v>
      </c>
      <c r="CJ62" s="18">
        <v>5</v>
      </c>
      <c r="CN62" s="51" t="s">
        <v>433</v>
      </c>
      <c r="CO62" s="52" t="s">
        <v>3492</v>
      </c>
      <c r="CP62" s="51" t="s">
        <v>214</v>
      </c>
      <c r="CQ62" s="51">
        <v>2</v>
      </c>
    </row>
    <row r="63" spans="1:95" ht="16.5" customHeight="1">
      <c r="A63" s="19">
        <v>62</v>
      </c>
      <c r="B63" s="19" t="str">
        <f>IF(法术书!AC14="","",法术书!AC14)</f>
        <v/>
      </c>
      <c r="C63" s="19" t="str">
        <f>IFERROR(VLOOKUP(B63,法术大全!$A:$W,5,FALSE),"")</f>
        <v/>
      </c>
      <c r="D63" s="284" t="str">
        <f>IFERROR(VLOOKUP(B63,法术大全!$A:$W,4,FALSE),"")</f>
        <v/>
      </c>
      <c r="E63" s="19">
        <v>62</v>
      </c>
      <c r="F63" s="285" t="str">
        <f t="shared" si="1"/>
        <v/>
      </c>
      <c r="G63" s="19"/>
      <c r="H63" s="19"/>
      <c r="I63" s="19"/>
      <c r="J63" s="19"/>
      <c r="K63" s="19"/>
      <c r="L63" s="19"/>
      <c r="W63" s="1"/>
      <c r="X63" s="1"/>
      <c r="CF63" s="18" t="s">
        <v>100</v>
      </c>
      <c r="CG63" s="18">
        <f>VLOOKUP(CF63,主要!C:J,7,FALSE)</f>
        <v>0</v>
      </c>
      <c r="CI63" s="18">
        <v>17</v>
      </c>
      <c r="CJ63" s="18">
        <v>6</v>
      </c>
      <c r="CN63" s="51" t="s">
        <v>434</v>
      </c>
      <c r="CO63" s="52" t="s">
        <v>3493</v>
      </c>
      <c r="CP63" s="51" t="s">
        <v>277</v>
      </c>
      <c r="CQ63" s="51">
        <v>1</v>
      </c>
    </row>
    <row r="64" spans="1:95" ht="16.5" customHeight="1">
      <c r="A64" s="19">
        <v>63</v>
      </c>
      <c r="B64" s="19" t="str">
        <f>IF(法术书!AC15="","",法术书!AC15)</f>
        <v/>
      </c>
      <c r="C64" s="19" t="str">
        <f>IFERROR(VLOOKUP(B64,法术大全!$A:$W,5,FALSE),"")</f>
        <v/>
      </c>
      <c r="D64" s="284" t="str">
        <f>IFERROR(VLOOKUP(B64,法术大全!$A:$W,4,FALSE),"")</f>
        <v/>
      </c>
      <c r="E64" s="19">
        <v>63</v>
      </c>
      <c r="F64" s="285" t="str">
        <f t="shared" si="1"/>
        <v/>
      </c>
      <c r="G64" s="19"/>
      <c r="H64" s="19"/>
      <c r="I64" s="19"/>
      <c r="J64" s="19"/>
      <c r="K64" s="19"/>
      <c r="L64" s="19"/>
      <c r="W64" s="1"/>
      <c r="X64" s="1"/>
      <c r="CF64" s="18" t="s">
        <v>101</v>
      </c>
      <c r="CG64" s="18">
        <f>VLOOKUP(CF64,主要!C:J,7,FALSE)</f>
        <v>0</v>
      </c>
      <c r="CI64" s="18">
        <v>18</v>
      </c>
      <c r="CJ64" s="18">
        <v>6</v>
      </c>
      <c r="CN64" s="51" t="s">
        <v>435</v>
      </c>
      <c r="CO64" s="52" t="s">
        <v>3494</v>
      </c>
      <c r="CP64" s="51" t="s">
        <v>3495</v>
      </c>
      <c r="CQ64" s="51">
        <v>0</v>
      </c>
    </row>
    <row r="65" spans="1:95" ht="16.5" customHeight="1">
      <c r="A65" s="19">
        <v>64</v>
      </c>
      <c r="B65" s="19" t="str">
        <f>IF(法术书!AC16="","",法术书!AC16)</f>
        <v/>
      </c>
      <c r="C65" s="19" t="str">
        <f>IFERROR(VLOOKUP(B65,法术大全!$A:$W,5,FALSE),"")</f>
        <v/>
      </c>
      <c r="D65" s="284" t="str">
        <f>IFERROR(VLOOKUP(B65,法术大全!$A:$W,4,FALSE),"")</f>
        <v/>
      </c>
      <c r="E65" s="19">
        <v>64</v>
      </c>
      <c r="F65" s="285" t="str">
        <f t="shared" si="1"/>
        <v/>
      </c>
      <c r="G65" s="19"/>
      <c r="H65" s="19"/>
      <c r="I65" s="19"/>
      <c r="J65" s="19"/>
      <c r="K65" s="19"/>
      <c r="L65" s="19"/>
      <c r="W65" s="1"/>
      <c r="X65" s="1"/>
      <c r="CF65" s="18" t="s">
        <v>105</v>
      </c>
      <c r="CG65" s="18">
        <f>VLOOKUP(CF65,主要!C:J,7,FALSE)</f>
        <v>0</v>
      </c>
      <c r="CI65" s="18">
        <v>19</v>
      </c>
      <c r="CJ65" s="18">
        <v>6</v>
      </c>
      <c r="CN65" s="51" t="s">
        <v>436</v>
      </c>
      <c r="CO65" s="52" t="s">
        <v>3496</v>
      </c>
      <c r="CP65" s="51" t="s">
        <v>202</v>
      </c>
      <c r="CQ65" s="51">
        <v>6</v>
      </c>
    </row>
    <row r="66" spans="1:95" ht="16.5" customHeight="1">
      <c r="A66" s="19">
        <v>65</v>
      </c>
      <c r="B66" s="19" t="str">
        <f>IF(法术书!AC17="","",法术书!AC17)</f>
        <v/>
      </c>
      <c r="C66" s="19" t="str">
        <f>IFERROR(VLOOKUP(B66,法术大全!$A:$W,5,FALSE),"")</f>
        <v/>
      </c>
      <c r="D66" s="284" t="str">
        <f>IFERROR(VLOOKUP(B66,法术大全!$A:$W,4,FALSE),"")</f>
        <v/>
      </c>
      <c r="E66" s="19">
        <v>65</v>
      </c>
      <c r="F66" s="285" t="str">
        <f t="shared" ref="F66:F101" si="2">B66</f>
        <v/>
      </c>
      <c r="G66" s="19"/>
      <c r="H66" s="19"/>
      <c r="I66" s="19"/>
      <c r="J66" s="19"/>
      <c r="K66" s="19"/>
      <c r="L66" s="19"/>
      <c r="W66" s="1"/>
      <c r="X66" s="1"/>
      <c r="CF66" s="18" t="s">
        <v>106</v>
      </c>
      <c r="CG66" s="18">
        <f>VLOOKUP(CF66,主要!C:J,7,FALSE)</f>
        <v>0</v>
      </c>
      <c r="CI66" s="18">
        <v>20</v>
      </c>
      <c r="CJ66" s="18">
        <v>6</v>
      </c>
      <c r="CN66" s="51" t="s">
        <v>437</v>
      </c>
      <c r="CO66" s="52" t="s">
        <v>3497</v>
      </c>
      <c r="CP66" s="51" t="s">
        <v>3498</v>
      </c>
      <c r="CQ66" s="51">
        <v>1</v>
      </c>
    </row>
    <row r="67" spans="1:95" ht="16.5" customHeight="1">
      <c r="A67" s="19">
        <v>66</v>
      </c>
      <c r="B67" s="19" t="str">
        <f>IF(法术书!AC18="","",法术书!AC18)</f>
        <v/>
      </c>
      <c r="C67" s="19" t="str">
        <f>IFERROR(VLOOKUP(B67,法术大全!$A:$W,5,FALSE),"")</f>
        <v/>
      </c>
      <c r="D67" s="284" t="str">
        <f>IFERROR(VLOOKUP(B67,法术大全!$A:$W,4,FALSE),"")</f>
        <v/>
      </c>
      <c r="E67" s="19">
        <v>66</v>
      </c>
      <c r="F67" s="285" t="str">
        <f t="shared" si="2"/>
        <v/>
      </c>
      <c r="G67" s="19"/>
      <c r="H67" s="19"/>
      <c r="I67" s="19"/>
      <c r="J67" s="19"/>
      <c r="K67" s="19"/>
      <c r="L67" s="19"/>
      <c r="W67" s="1"/>
      <c r="X67" s="1"/>
      <c r="CF67" s="18" t="s">
        <v>6049</v>
      </c>
      <c r="CG67" s="18">
        <f>VLOOKUP(CF67,主要!C:J,7,FALSE)</f>
        <v>0</v>
      </c>
      <c r="CN67" s="51" t="s">
        <v>438</v>
      </c>
      <c r="CO67" s="52" t="s">
        <v>81</v>
      </c>
      <c r="CP67" s="51" t="s">
        <v>214</v>
      </c>
      <c r="CQ67" s="51">
        <v>0.5</v>
      </c>
    </row>
    <row r="68" spans="1:95" ht="16.5" customHeight="1">
      <c r="A68" s="19">
        <v>67</v>
      </c>
      <c r="B68" s="19" t="str">
        <f>IF(法术书!AC19="","",法术书!AC19)</f>
        <v/>
      </c>
      <c r="C68" s="19" t="str">
        <f>IFERROR(VLOOKUP(B68,法术大全!$A:$W,5,FALSE),"")</f>
        <v/>
      </c>
      <c r="D68" s="284" t="str">
        <f>IFERROR(VLOOKUP(B68,法术大全!$A:$W,4,FALSE),"")</f>
        <v/>
      </c>
      <c r="E68" s="19">
        <v>67</v>
      </c>
      <c r="F68" s="285" t="str">
        <f t="shared" si="2"/>
        <v/>
      </c>
      <c r="G68" s="19"/>
      <c r="H68" s="19"/>
      <c r="I68" s="19"/>
      <c r="J68" s="19"/>
      <c r="K68" s="19"/>
      <c r="L68" s="19"/>
      <c r="W68" s="1"/>
      <c r="X68" s="1"/>
      <c r="CF68" s="18" t="s">
        <v>107</v>
      </c>
      <c r="CG68" s="18">
        <f>VLOOKUP(CF68,主要!C:J,7,FALSE)</f>
        <v>0</v>
      </c>
      <c r="CI68" s="354" t="s">
        <v>5962</v>
      </c>
      <c r="CJ68" s="354" t="s">
        <v>349</v>
      </c>
      <c r="CN68" s="51" t="s">
        <v>3499</v>
      </c>
      <c r="CO68" s="52" t="s">
        <v>3500</v>
      </c>
      <c r="CP68" s="51" t="s">
        <v>3489</v>
      </c>
      <c r="CQ68" s="51">
        <v>1</v>
      </c>
    </row>
    <row r="69" spans="1:95" ht="16.5" customHeight="1">
      <c r="A69" s="19">
        <v>68</v>
      </c>
      <c r="B69" s="19" t="str">
        <f>IF(法术书!AC20="","",法术书!AC20)</f>
        <v/>
      </c>
      <c r="C69" s="19" t="str">
        <f>IFERROR(VLOOKUP(B69,法术大全!$A:$W,5,FALSE),"")</f>
        <v/>
      </c>
      <c r="D69" s="284" t="str">
        <f>IFERROR(VLOOKUP(B69,法术大全!$A:$W,4,FALSE),"")</f>
        <v/>
      </c>
      <c r="E69" s="19">
        <v>68</v>
      </c>
      <c r="F69" s="285" t="str">
        <f t="shared" si="2"/>
        <v/>
      </c>
      <c r="G69" s="19"/>
      <c r="H69" s="19"/>
      <c r="I69" s="19"/>
      <c r="J69" s="19"/>
      <c r="K69" s="19"/>
      <c r="L69" s="19"/>
      <c r="W69" s="1"/>
      <c r="X69" s="1"/>
      <c r="CF69" s="18" t="s">
        <v>6050</v>
      </c>
      <c r="CG69" s="18">
        <f>VLOOKUP(CF69,主要!C:J,7,FALSE)</f>
        <v>0</v>
      </c>
      <c r="CI69" s="359">
        <v>0</v>
      </c>
      <c r="CJ69" s="360">
        <v>2</v>
      </c>
      <c r="CN69" s="51" t="s">
        <v>3501</v>
      </c>
      <c r="CO69" s="52" t="s">
        <v>81</v>
      </c>
      <c r="CP69" s="51" t="s">
        <v>3498</v>
      </c>
      <c r="CQ69" s="51">
        <v>0</v>
      </c>
    </row>
    <row r="70" spans="1:95" ht="16.5" customHeight="1">
      <c r="A70" s="19">
        <v>69</v>
      </c>
      <c r="B70" s="19" t="str">
        <f>IF(法术书!AC21="","",法术书!AC21)</f>
        <v/>
      </c>
      <c r="C70" s="19" t="str">
        <f>IFERROR(VLOOKUP(B70,法术大全!$A:$W,5,FALSE),"")</f>
        <v/>
      </c>
      <c r="D70" s="284" t="str">
        <f>IFERROR(VLOOKUP(B70,法术大全!$A:$W,4,FALSE),"")</f>
        <v/>
      </c>
      <c r="E70" s="19">
        <v>69</v>
      </c>
      <c r="F70" s="285" t="str">
        <f t="shared" si="2"/>
        <v/>
      </c>
      <c r="G70" s="19"/>
      <c r="H70" s="19"/>
      <c r="I70" s="19"/>
      <c r="J70" s="19"/>
      <c r="K70" s="19"/>
      <c r="L70" s="19"/>
      <c r="W70" s="1"/>
      <c r="X70" s="1"/>
      <c r="CF70" s="18" t="s">
        <v>6476</v>
      </c>
      <c r="CG70" s="18">
        <f>VLOOKUP(CF70,主要!C:J,7,FALSE)</f>
        <v>0</v>
      </c>
      <c r="CI70" s="359" t="s">
        <v>6018</v>
      </c>
      <c r="CJ70" s="360">
        <v>2</v>
      </c>
      <c r="CN70" s="51" t="s">
        <v>3502</v>
      </c>
      <c r="CO70" s="52" t="s">
        <v>81</v>
      </c>
      <c r="CP70" s="51" t="s">
        <v>3489</v>
      </c>
      <c r="CQ70" s="51">
        <v>0</v>
      </c>
    </row>
    <row r="71" spans="1:95" ht="16.5" customHeight="1">
      <c r="A71" s="19">
        <v>70</v>
      </c>
      <c r="B71" s="19" t="str">
        <f>IF(法术书!AC22="","",法术书!AC22)</f>
        <v/>
      </c>
      <c r="C71" s="19" t="str">
        <f>IFERROR(VLOOKUP(B71,法术大全!$A:$W,5,FALSE),"")</f>
        <v/>
      </c>
      <c r="D71" s="284" t="str">
        <f>IFERROR(VLOOKUP(B71,法术大全!$A:$W,4,FALSE),"")</f>
        <v/>
      </c>
      <c r="E71" s="19">
        <v>70</v>
      </c>
      <c r="F71" s="285" t="str">
        <f t="shared" si="2"/>
        <v/>
      </c>
      <c r="G71" s="19"/>
      <c r="H71" s="19"/>
      <c r="I71" s="19"/>
      <c r="J71" s="19"/>
      <c r="K71" s="19"/>
      <c r="L71" s="19"/>
      <c r="W71" s="1"/>
      <c r="X71" s="1"/>
      <c r="CF71" s="18" t="s">
        <v>117</v>
      </c>
      <c r="CG71" s="18">
        <f>VLOOKUP(CF71,主要!C:J,7,FALSE)</f>
        <v>0</v>
      </c>
      <c r="CI71" s="359" t="s">
        <v>6019</v>
      </c>
      <c r="CJ71" s="360">
        <v>2</v>
      </c>
      <c r="CN71" s="51" t="s">
        <v>3503</v>
      </c>
      <c r="CO71" s="52" t="s">
        <v>81</v>
      </c>
      <c r="CP71" s="51" t="s">
        <v>214</v>
      </c>
      <c r="CQ71" s="51">
        <v>0</v>
      </c>
    </row>
    <row r="72" spans="1:95" ht="16.5" customHeight="1">
      <c r="A72" s="19">
        <v>71</v>
      </c>
      <c r="B72" s="19" t="str">
        <f>IF(法术书!AC23="","",法术书!AC23)</f>
        <v/>
      </c>
      <c r="C72" s="19" t="str">
        <f>IFERROR(VLOOKUP(B72,法术大全!$A:$W,5,FALSE),"")</f>
        <v/>
      </c>
      <c r="D72" s="284" t="str">
        <f>IFERROR(VLOOKUP(B72,法术大全!$A:$W,4,FALSE),"")</f>
        <v/>
      </c>
      <c r="E72" s="19">
        <v>71</v>
      </c>
      <c r="F72" s="285" t="str">
        <f t="shared" si="2"/>
        <v/>
      </c>
      <c r="G72" s="19"/>
      <c r="H72" s="19"/>
      <c r="I72" s="19"/>
      <c r="J72" s="19"/>
      <c r="K72" s="19"/>
      <c r="L72" s="19"/>
      <c r="W72" s="1"/>
      <c r="X72" s="1"/>
      <c r="CF72" s="18" t="s">
        <v>122</v>
      </c>
      <c r="CG72" s="18">
        <f>VLOOKUP(CF72,主要!C:J,7,FALSE)</f>
        <v>0</v>
      </c>
      <c r="CI72" s="359" t="s">
        <v>6020</v>
      </c>
      <c r="CJ72" s="360">
        <v>2</v>
      </c>
      <c r="CN72" s="51" t="s">
        <v>439</v>
      </c>
      <c r="CO72" s="52" t="s">
        <v>81</v>
      </c>
      <c r="CP72" s="51" t="s">
        <v>202</v>
      </c>
      <c r="CQ72" s="51">
        <v>10</v>
      </c>
    </row>
    <row r="73" spans="1:95" ht="16.5" customHeight="1">
      <c r="A73" s="19">
        <v>72</v>
      </c>
      <c r="B73" s="19" t="str">
        <f>IF(法术书!AC24="","",法术书!AC24)</f>
        <v/>
      </c>
      <c r="C73" s="19" t="str">
        <f>IFERROR(VLOOKUP(B73,法术大全!$A:$W,5,FALSE),"")</f>
        <v/>
      </c>
      <c r="D73" s="284" t="str">
        <f>IFERROR(VLOOKUP(B73,法术大全!$A:$W,4,FALSE),"")</f>
        <v/>
      </c>
      <c r="E73" s="19">
        <v>72</v>
      </c>
      <c r="F73" s="285" t="str">
        <f t="shared" si="2"/>
        <v/>
      </c>
      <c r="G73" s="19"/>
      <c r="H73" s="19"/>
      <c r="I73" s="19"/>
      <c r="J73" s="19"/>
      <c r="K73" s="19"/>
      <c r="L73" s="19"/>
      <c r="W73" s="1"/>
      <c r="X73" s="1"/>
      <c r="CI73" s="361">
        <v>1</v>
      </c>
      <c r="CJ73" s="360">
        <v>2</v>
      </c>
      <c r="CN73" s="51" t="s">
        <v>440</v>
      </c>
      <c r="CO73" s="52" t="s">
        <v>81</v>
      </c>
      <c r="CP73" s="51" t="s">
        <v>3463</v>
      </c>
      <c r="CQ73" s="51">
        <v>0.25</v>
      </c>
    </row>
    <row r="74" spans="1:95" ht="16.5" customHeight="1">
      <c r="A74" s="19">
        <v>73</v>
      </c>
      <c r="B74" s="19" t="str">
        <f>IF(法术书!AC25="","",法术书!AC25)</f>
        <v/>
      </c>
      <c r="C74" s="19" t="str">
        <f>IFERROR(VLOOKUP(B74,法术大全!$A:$W,5,FALSE),"")</f>
        <v/>
      </c>
      <c r="D74" s="284" t="str">
        <f>IFERROR(VLOOKUP(B74,法术大全!$A:$W,4,FALSE),"")</f>
        <v/>
      </c>
      <c r="E74" s="19">
        <v>73</v>
      </c>
      <c r="F74" s="285" t="str">
        <f t="shared" si="2"/>
        <v/>
      </c>
      <c r="G74" s="19"/>
      <c r="H74" s="19"/>
      <c r="I74" s="19"/>
      <c r="J74" s="19"/>
      <c r="K74" s="19"/>
      <c r="L74" s="19"/>
      <c r="W74" s="1"/>
      <c r="X74" s="1"/>
      <c r="CI74" s="361">
        <v>2</v>
      </c>
      <c r="CJ74" s="360">
        <v>2</v>
      </c>
      <c r="CN74" s="51" t="s">
        <v>3504</v>
      </c>
      <c r="CO74" s="52" t="s">
        <v>3505</v>
      </c>
      <c r="CP74" s="51" t="s">
        <v>3495</v>
      </c>
      <c r="CQ74" s="51">
        <v>0</v>
      </c>
    </row>
    <row r="75" spans="1:95" ht="16.5" customHeight="1">
      <c r="A75" s="19">
        <v>74</v>
      </c>
      <c r="B75" s="19" t="str">
        <f>IF(法术书!AC26="","",法术书!AC26)</f>
        <v/>
      </c>
      <c r="C75" s="19" t="str">
        <f>IFERROR(VLOOKUP(B75,法术大全!$A:$W,5,FALSE),"")</f>
        <v/>
      </c>
      <c r="D75" s="284" t="str">
        <f>IFERROR(VLOOKUP(B75,法术大全!$A:$W,4,FALSE),"")</f>
        <v/>
      </c>
      <c r="E75" s="19">
        <v>74</v>
      </c>
      <c r="F75" s="285" t="str">
        <f t="shared" si="2"/>
        <v/>
      </c>
      <c r="G75" s="19"/>
      <c r="H75" s="19"/>
      <c r="I75" s="19"/>
      <c r="J75" s="19"/>
      <c r="K75" s="19"/>
      <c r="L75" s="19"/>
      <c r="W75" s="1"/>
      <c r="X75" s="1"/>
      <c r="CI75" s="361">
        <v>3</v>
      </c>
      <c r="CJ75" s="360">
        <v>2</v>
      </c>
      <c r="CN75" s="51" t="s">
        <v>3506</v>
      </c>
      <c r="CO75" s="52" t="s">
        <v>81</v>
      </c>
      <c r="CP75" s="51" t="s">
        <v>3463</v>
      </c>
      <c r="CQ75" s="51">
        <v>7</v>
      </c>
    </row>
    <row r="76" spans="1:95" ht="16.5" customHeight="1">
      <c r="A76" s="19">
        <v>75</v>
      </c>
      <c r="B76" s="19" t="str">
        <f>IF(法术书!AC27="","",法术书!AC27)</f>
        <v/>
      </c>
      <c r="C76" s="19" t="str">
        <f>IFERROR(VLOOKUP(B76,法术大全!$A:$W,5,FALSE),"")</f>
        <v/>
      </c>
      <c r="D76" s="284" t="str">
        <f>IFERROR(VLOOKUP(B76,法术大全!$A:$W,4,FALSE),"")</f>
        <v/>
      </c>
      <c r="E76" s="19">
        <v>75</v>
      </c>
      <c r="F76" s="285" t="str">
        <f t="shared" si="2"/>
        <v/>
      </c>
      <c r="G76" s="19"/>
      <c r="H76" s="19"/>
      <c r="I76" s="19"/>
      <c r="J76" s="19"/>
      <c r="K76" s="19"/>
      <c r="L76" s="19"/>
      <c r="CI76" s="361">
        <v>4</v>
      </c>
      <c r="CJ76" s="360">
        <v>2</v>
      </c>
      <c r="CN76" s="51" t="s">
        <v>441</v>
      </c>
      <c r="CO76" s="53" t="s">
        <v>3507</v>
      </c>
      <c r="CP76" s="51" t="s">
        <v>202</v>
      </c>
      <c r="CQ76" s="51">
        <v>10</v>
      </c>
    </row>
    <row r="77" spans="1:95" ht="16.5" customHeight="1">
      <c r="A77" s="19">
        <v>76</v>
      </c>
      <c r="B77" s="19" t="str">
        <f>IF(法术书!AC28="","",法术书!AC28)</f>
        <v/>
      </c>
      <c r="C77" s="19" t="str">
        <f>IFERROR(VLOOKUP(B77,法术大全!$A:$W,5,FALSE),"")</f>
        <v/>
      </c>
      <c r="D77" s="284" t="str">
        <f>IFERROR(VLOOKUP(B77,法术大全!$A:$W,4,FALSE),"")</f>
        <v/>
      </c>
      <c r="E77" s="19">
        <v>76</v>
      </c>
      <c r="F77" s="285" t="str">
        <f t="shared" si="2"/>
        <v/>
      </c>
      <c r="G77" s="19"/>
      <c r="H77" s="19"/>
      <c r="I77" s="19"/>
      <c r="J77" s="19"/>
      <c r="K77" s="19"/>
      <c r="L77" s="19"/>
      <c r="CI77" s="361">
        <v>5</v>
      </c>
      <c r="CJ77" s="360">
        <v>3</v>
      </c>
      <c r="CN77" s="51" t="s">
        <v>442</v>
      </c>
      <c r="CO77" s="52" t="s">
        <v>3508</v>
      </c>
      <c r="CP77" s="51" t="s">
        <v>293</v>
      </c>
      <c r="CQ77" s="51">
        <v>0.5</v>
      </c>
    </row>
    <row r="78" spans="1:95" ht="16.5" customHeight="1">
      <c r="A78" s="19">
        <v>77</v>
      </c>
      <c r="B78" s="19" t="str">
        <f>IF(法术书!AC29="","",法术书!AC29)</f>
        <v/>
      </c>
      <c r="C78" s="19" t="str">
        <f>IFERROR(VLOOKUP(B78,法术大全!$A:$W,5,FALSE),"")</f>
        <v/>
      </c>
      <c r="D78" s="284" t="str">
        <f>IFERROR(VLOOKUP(B78,法术大全!$A:$W,4,FALSE),"")</f>
        <v/>
      </c>
      <c r="E78" s="19">
        <v>77</v>
      </c>
      <c r="F78" s="285" t="str">
        <f t="shared" si="2"/>
        <v/>
      </c>
      <c r="G78" s="19"/>
      <c r="H78" s="19"/>
      <c r="I78" s="19"/>
      <c r="J78" s="19"/>
      <c r="K78" s="19"/>
      <c r="L78" s="19"/>
      <c r="CI78" s="361">
        <v>6</v>
      </c>
      <c r="CJ78" s="360">
        <v>3</v>
      </c>
      <c r="CN78" s="51" t="s">
        <v>443</v>
      </c>
      <c r="CO78" s="54" t="s">
        <v>3509</v>
      </c>
      <c r="CP78" s="51" t="s">
        <v>3456</v>
      </c>
      <c r="CQ78" s="51">
        <v>1</v>
      </c>
    </row>
    <row r="79" spans="1:95" ht="16.5" customHeight="1">
      <c r="A79" s="19">
        <v>78</v>
      </c>
      <c r="B79" s="19" t="str">
        <f>IF(法术书!AC30="","",法术书!AC30)</f>
        <v/>
      </c>
      <c r="C79" s="19" t="str">
        <f>IFERROR(VLOOKUP(B79,法术大全!$A:$W,5,FALSE),"")</f>
        <v/>
      </c>
      <c r="D79" s="284" t="str">
        <f>IFERROR(VLOOKUP(B79,法术大全!$A:$W,4,FALSE),"")</f>
        <v/>
      </c>
      <c r="E79" s="19">
        <v>78</v>
      </c>
      <c r="F79" s="285" t="str">
        <f t="shared" si="2"/>
        <v/>
      </c>
      <c r="G79" s="19"/>
      <c r="H79" s="19"/>
      <c r="I79" s="19"/>
      <c r="J79" s="19"/>
      <c r="K79" s="19"/>
      <c r="L79" s="19"/>
      <c r="CI79" s="361">
        <v>7</v>
      </c>
      <c r="CJ79" s="360">
        <v>3</v>
      </c>
      <c r="CN79" s="51" t="s">
        <v>444</v>
      </c>
      <c r="CO79" s="52" t="s">
        <v>445</v>
      </c>
      <c r="CP79" s="51" t="s">
        <v>240</v>
      </c>
      <c r="CQ79" s="51">
        <v>1</v>
      </c>
    </row>
    <row r="80" spans="1:95" ht="16.5" customHeight="1">
      <c r="A80" s="19">
        <v>79</v>
      </c>
      <c r="B80" s="19" t="str">
        <f>IF(法术书!AC31="","",法术书!AC31)</f>
        <v/>
      </c>
      <c r="C80" s="19" t="str">
        <f>IFERROR(VLOOKUP(B80,法术大全!$A:$W,5,FALSE),"")</f>
        <v/>
      </c>
      <c r="D80" s="284" t="str">
        <f>IFERROR(VLOOKUP(B80,法术大全!$A:$W,4,FALSE),"")</f>
        <v/>
      </c>
      <c r="E80" s="19">
        <v>79</v>
      </c>
      <c r="F80" s="285" t="str">
        <f t="shared" si="2"/>
        <v/>
      </c>
      <c r="G80" s="19"/>
      <c r="H80" s="19"/>
      <c r="I80" s="19"/>
      <c r="J80" s="19"/>
      <c r="K80" s="19"/>
      <c r="L80" s="19"/>
      <c r="CI80" s="361">
        <v>8</v>
      </c>
      <c r="CJ80" s="360">
        <v>3</v>
      </c>
      <c r="CN80" s="51" t="s">
        <v>446</v>
      </c>
      <c r="CO80" s="52" t="s">
        <v>3510</v>
      </c>
      <c r="CP80" s="51" t="s">
        <v>3511</v>
      </c>
      <c r="CQ80" s="51">
        <v>35</v>
      </c>
    </row>
    <row r="81" spans="1:95" ht="16.5" customHeight="1">
      <c r="A81" s="19">
        <v>80</v>
      </c>
      <c r="B81" s="19" t="str">
        <f>IF(法术书!AC32="","",法术书!AC32)</f>
        <v/>
      </c>
      <c r="C81" s="19" t="str">
        <f>IFERROR(VLOOKUP(B81,法术大全!$A:$W,5,FALSE),"")</f>
        <v/>
      </c>
      <c r="D81" s="284" t="str">
        <f>IFERROR(VLOOKUP(B81,法术大全!$A:$W,4,FALSE),"")</f>
        <v/>
      </c>
      <c r="E81" s="19">
        <v>80</v>
      </c>
      <c r="F81" s="285" t="str">
        <f t="shared" si="2"/>
        <v/>
      </c>
      <c r="G81" s="19"/>
      <c r="H81" s="19"/>
      <c r="I81" s="19"/>
      <c r="J81" s="19"/>
      <c r="K81" s="19"/>
      <c r="L81" s="19"/>
      <c r="CI81" s="361">
        <v>9</v>
      </c>
      <c r="CJ81" s="360">
        <v>4</v>
      </c>
      <c r="CN81" s="51" t="s">
        <v>3512</v>
      </c>
      <c r="CO81" s="52" t="s">
        <v>447</v>
      </c>
      <c r="CP81" s="51" t="s">
        <v>3456</v>
      </c>
      <c r="CQ81" s="51">
        <v>2</v>
      </c>
    </row>
    <row r="82" spans="1:95" ht="16.5" customHeight="1">
      <c r="A82" s="19">
        <v>81</v>
      </c>
      <c r="B82" s="19" t="str">
        <f>IF(法术书!AC33="","",法术书!AC33)</f>
        <v/>
      </c>
      <c r="C82" s="19" t="str">
        <f>IFERROR(VLOOKUP(B82,法术大全!$A:$W,5,FALSE),"")</f>
        <v/>
      </c>
      <c r="D82" s="284" t="str">
        <f>IFERROR(VLOOKUP(B82,法术大全!$A:$W,4,FALSE),"")</f>
        <v/>
      </c>
      <c r="E82" s="19">
        <v>81</v>
      </c>
      <c r="F82" s="285" t="str">
        <f t="shared" si="2"/>
        <v/>
      </c>
      <c r="G82" s="19"/>
      <c r="H82" s="19"/>
      <c r="I82" s="19"/>
      <c r="J82" s="19"/>
      <c r="K82" s="19"/>
      <c r="L82" s="19"/>
      <c r="CI82" s="361">
        <v>10</v>
      </c>
      <c r="CJ82" s="360">
        <v>4</v>
      </c>
      <c r="CN82" s="51" t="s">
        <v>448</v>
      </c>
      <c r="CO82" s="52" t="s">
        <v>81</v>
      </c>
      <c r="CP82" s="51" t="s">
        <v>240</v>
      </c>
      <c r="CQ82" s="51">
        <v>4</v>
      </c>
    </row>
    <row r="83" spans="1:95" ht="16.5" customHeight="1">
      <c r="A83" s="19">
        <v>82</v>
      </c>
      <c r="B83" s="19" t="str">
        <f>IF(法术书!AC34="","",法术书!AC34)</f>
        <v/>
      </c>
      <c r="C83" s="19" t="str">
        <f>IFERROR(VLOOKUP(B83,法术大全!$A:$W,5,FALSE),"")</f>
        <v/>
      </c>
      <c r="D83" s="284" t="str">
        <f>IFERROR(VLOOKUP(B83,法术大全!$A:$W,4,FALSE),"")</f>
        <v/>
      </c>
      <c r="E83" s="19">
        <v>82</v>
      </c>
      <c r="F83" s="285" t="str">
        <f t="shared" si="2"/>
        <v/>
      </c>
      <c r="G83" s="19"/>
      <c r="H83" s="19"/>
      <c r="I83" s="19"/>
      <c r="J83" s="19"/>
      <c r="K83" s="19"/>
      <c r="L83" s="19"/>
      <c r="CI83" s="361">
        <v>11</v>
      </c>
      <c r="CJ83" s="360">
        <v>4</v>
      </c>
      <c r="CN83" s="51" t="s">
        <v>3513</v>
      </c>
      <c r="CO83" s="52" t="s">
        <v>449</v>
      </c>
      <c r="CP83" s="51" t="s">
        <v>240</v>
      </c>
      <c r="CQ83" s="51">
        <v>10</v>
      </c>
    </row>
    <row r="84" spans="1:95" ht="16.5" customHeight="1">
      <c r="A84" s="19">
        <v>83</v>
      </c>
      <c r="B84" s="19" t="str">
        <f>IF(法术书!AC35="","",法术书!AC35)</f>
        <v/>
      </c>
      <c r="C84" s="19" t="str">
        <f>IFERROR(VLOOKUP(B84,法术大全!$A:$W,5,FALSE),"")</f>
        <v/>
      </c>
      <c r="D84" s="284" t="str">
        <f>IFERROR(VLOOKUP(B84,法术大全!$A:$W,4,FALSE),"")</f>
        <v/>
      </c>
      <c r="E84" s="19">
        <v>83</v>
      </c>
      <c r="F84" s="285" t="str">
        <f t="shared" si="2"/>
        <v/>
      </c>
      <c r="G84" s="19"/>
      <c r="H84" s="19"/>
      <c r="I84" s="19"/>
      <c r="J84" s="19"/>
      <c r="K84" s="19"/>
      <c r="L84" s="19"/>
      <c r="CI84" s="361">
        <v>12</v>
      </c>
      <c r="CJ84" s="360">
        <v>4</v>
      </c>
      <c r="CN84" s="51" t="s">
        <v>3514</v>
      </c>
      <c r="CO84" s="52" t="s">
        <v>450</v>
      </c>
      <c r="CP84" s="51" t="s">
        <v>277</v>
      </c>
      <c r="CQ84" s="51">
        <v>5</v>
      </c>
    </row>
    <row r="85" spans="1:95" ht="16.5" customHeight="1">
      <c r="A85" s="19">
        <v>84</v>
      </c>
      <c r="B85" s="19" t="str">
        <f>IF(法术书!AC36="","",法术书!AC36)</f>
        <v/>
      </c>
      <c r="C85" s="19" t="str">
        <f>IFERROR(VLOOKUP(B85,法术大全!$A:$W,5,FALSE),"")</f>
        <v/>
      </c>
      <c r="D85" s="284" t="str">
        <f>IFERROR(VLOOKUP(B85,法术大全!$A:$W,4,FALSE),"")</f>
        <v/>
      </c>
      <c r="E85" s="19">
        <v>84</v>
      </c>
      <c r="F85" s="285" t="str">
        <f t="shared" si="2"/>
        <v/>
      </c>
      <c r="G85" s="19"/>
      <c r="H85" s="19"/>
      <c r="I85" s="19"/>
      <c r="J85" s="19"/>
      <c r="K85" s="19"/>
      <c r="L85" s="19"/>
      <c r="CI85" s="361">
        <v>13</v>
      </c>
      <c r="CJ85" s="360">
        <v>5</v>
      </c>
      <c r="CN85" s="51" t="s">
        <v>3515</v>
      </c>
      <c r="CO85" s="54" t="s">
        <v>3516</v>
      </c>
      <c r="CP85" s="51" t="s">
        <v>3467</v>
      </c>
      <c r="CQ85" s="51">
        <v>0.5</v>
      </c>
    </row>
    <row r="86" spans="1:95" ht="16.5" customHeight="1">
      <c r="A86" s="19">
        <v>85</v>
      </c>
      <c r="B86" s="19" t="str">
        <f>IF(法术书!AC37="","",法术书!AC37)</f>
        <v/>
      </c>
      <c r="C86" s="19" t="str">
        <f>IFERROR(VLOOKUP(B86,法术大全!$A:$W,5,FALSE),"")</f>
        <v/>
      </c>
      <c r="D86" s="284" t="str">
        <f>IFERROR(VLOOKUP(B86,法术大全!$A:$W,4,FALSE),"")</f>
        <v/>
      </c>
      <c r="E86" s="19">
        <v>85</v>
      </c>
      <c r="F86" s="285" t="str">
        <f t="shared" si="2"/>
        <v/>
      </c>
      <c r="G86" s="19"/>
      <c r="H86" s="19"/>
      <c r="I86" s="19"/>
      <c r="J86" s="19"/>
      <c r="K86" s="19"/>
      <c r="L86" s="19"/>
      <c r="CI86" s="361">
        <v>14</v>
      </c>
      <c r="CJ86" s="360">
        <v>5</v>
      </c>
      <c r="CN86" s="51" t="s">
        <v>451</v>
      </c>
      <c r="CO86" s="52" t="s">
        <v>3517</v>
      </c>
      <c r="CP86" s="51" t="s">
        <v>214</v>
      </c>
      <c r="CQ86" s="51">
        <v>3</v>
      </c>
    </row>
    <row r="87" spans="1:95" ht="16.5" customHeight="1">
      <c r="A87" s="19">
        <v>86</v>
      </c>
      <c r="B87" s="19" t="str">
        <f>IF(法术书!AC38="","",法术书!AC38)</f>
        <v/>
      </c>
      <c r="C87" s="19" t="str">
        <f>IFERROR(VLOOKUP(B87,法术大全!$A:$W,5,FALSE),"")</f>
        <v/>
      </c>
      <c r="D87" s="284" t="str">
        <f>IFERROR(VLOOKUP(B87,法术大全!$A:$W,4,FALSE),"")</f>
        <v/>
      </c>
      <c r="E87" s="19">
        <v>86</v>
      </c>
      <c r="F87" s="285" t="str">
        <f t="shared" si="2"/>
        <v/>
      </c>
      <c r="G87" s="19"/>
      <c r="H87" s="19"/>
      <c r="I87" s="19"/>
      <c r="J87" s="19"/>
      <c r="K87" s="19"/>
      <c r="L87" s="19"/>
      <c r="CI87" s="361">
        <v>15</v>
      </c>
      <c r="CJ87" s="360">
        <v>5</v>
      </c>
      <c r="CN87" s="51" t="s">
        <v>452</v>
      </c>
      <c r="CO87" s="52" t="s">
        <v>81</v>
      </c>
      <c r="CP87" s="51" t="s">
        <v>3456</v>
      </c>
      <c r="CQ87" s="51">
        <v>0</v>
      </c>
    </row>
    <row r="88" spans="1:95" ht="16.5" customHeight="1">
      <c r="A88" s="19">
        <v>87</v>
      </c>
      <c r="B88" s="19" t="str">
        <f>IF(法术书!AC39="","",法术书!AC39)</f>
        <v/>
      </c>
      <c r="C88" s="19" t="str">
        <f>IFERROR(VLOOKUP(B88,法术大全!$A:$W,5,FALSE),"")</f>
        <v/>
      </c>
      <c r="D88" s="284" t="str">
        <f>IFERROR(VLOOKUP(B88,法术大全!$A:$W,4,FALSE),"")</f>
        <v/>
      </c>
      <c r="E88" s="19">
        <v>87</v>
      </c>
      <c r="F88" s="285" t="str">
        <f t="shared" si="2"/>
        <v/>
      </c>
      <c r="G88" s="19"/>
      <c r="H88" s="19"/>
      <c r="I88" s="19"/>
      <c r="J88" s="19"/>
      <c r="K88" s="19"/>
      <c r="L88" s="19"/>
      <c r="CI88" s="361">
        <v>16</v>
      </c>
      <c r="CJ88" s="360">
        <v>5</v>
      </c>
      <c r="CN88" s="51" t="s">
        <v>453</v>
      </c>
      <c r="CO88" s="52" t="s">
        <v>81</v>
      </c>
      <c r="CP88" s="51" t="s">
        <v>202</v>
      </c>
      <c r="CQ88" s="51">
        <v>5</v>
      </c>
    </row>
    <row r="89" spans="1:95" ht="16.5" customHeight="1">
      <c r="A89" s="19">
        <v>88</v>
      </c>
      <c r="B89" s="19" t="str">
        <f>IF(法术书!AC40="","",法术书!AC40)</f>
        <v/>
      </c>
      <c r="C89" s="19" t="str">
        <f>IFERROR(VLOOKUP(B89,法术大全!$A:$W,5,FALSE),"")</f>
        <v/>
      </c>
      <c r="D89" s="284" t="str">
        <f>IFERROR(VLOOKUP(B89,法术大全!$A:$W,4,FALSE),"")</f>
        <v/>
      </c>
      <c r="E89" s="19">
        <v>88</v>
      </c>
      <c r="F89" s="285" t="str">
        <f t="shared" si="2"/>
        <v/>
      </c>
      <c r="G89" s="19"/>
      <c r="H89" s="19"/>
      <c r="I89" s="19"/>
      <c r="J89" s="19"/>
      <c r="K89" s="19"/>
      <c r="L89" s="19"/>
      <c r="CI89" s="361">
        <v>17</v>
      </c>
      <c r="CJ89" s="360">
        <v>6</v>
      </c>
      <c r="CN89" s="51" t="s">
        <v>3518</v>
      </c>
      <c r="CO89" s="52" t="s">
        <v>81</v>
      </c>
      <c r="CP89" s="51" t="s">
        <v>3463</v>
      </c>
      <c r="CQ89" s="51">
        <v>0</v>
      </c>
    </row>
    <row r="90" spans="1:95" ht="16.5" customHeight="1">
      <c r="A90" s="19">
        <v>89</v>
      </c>
      <c r="B90" s="19" t="str">
        <f>IF(法术书!AC41="","",法术书!AC41)</f>
        <v/>
      </c>
      <c r="C90" s="19" t="str">
        <f>IFERROR(VLOOKUP(B90,法术大全!$A:$W,5,FALSE),"")</f>
        <v/>
      </c>
      <c r="D90" s="284" t="str">
        <f>IFERROR(VLOOKUP(B90,法术大全!$A:$W,4,FALSE),"")</f>
        <v/>
      </c>
      <c r="E90" s="19">
        <v>89</v>
      </c>
      <c r="F90" s="285" t="str">
        <f t="shared" si="2"/>
        <v/>
      </c>
      <c r="G90" s="19"/>
      <c r="H90" s="19"/>
      <c r="I90" s="19"/>
      <c r="J90" s="19"/>
      <c r="K90" s="19"/>
      <c r="L90" s="19"/>
      <c r="CI90" s="361">
        <v>18</v>
      </c>
      <c r="CJ90" s="360">
        <v>6</v>
      </c>
      <c r="CN90" s="51" t="s">
        <v>454</v>
      </c>
      <c r="CO90" s="52" t="s">
        <v>81</v>
      </c>
      <c r="CP90" s="51" t="s">
        <v>214</v>
      </c>
      <c r="CQ90" s="51">
        <v>0</v>
      </c>
    </row>
    <row r="91" spans="1:95" ht="16.5" customHeight="1">
      <c r="A91" s="19">
        <v>90</v>
      </c>
      <c r="B91" s="19" t="str">
        <f>IF(法术书!AC42="","",法术书!AC42)</f>
        <v/>
      </c>
      <c r="C91" s="19" t="str">
        <f>IFERROR(VLOOKUP(B91,法术大全!$A:$W,5,FALSE),"")</f>
        <v/>
      </c>
      <c r="D91" s="284" t="str">
        <f>IFERROR(VLOOKUP(B91,法术大全!$A:$W,4,FALSE),"")</f>
        <v/>
      </c>
      <c r="E91" s="19">
        <v>90</v>
      </c>
      <c r="F91" s="285" t="str">
        <f t="shared" si="2"/>
        <v/>
      </c>
      <c r="G91" s="19"/>
      <c r="H91" s="19"/>
      <c r="I91" s="19"/>
      <c r="J91" s="19"/>
      <c r="K91" s="19"/>
      <c r="L91" s="19"/>
      <c r="CI91" s="361">
        <v>19</v>
      </c>
      <c r="CJ91" s="360">
        <v>6</v>
      </c>
      <c r="CN91" s="51" t="s">
        <v>455</v>
      </c>
      <c r="CO91" s="52" t="s">
        <v>81</v>
      </c>
      <c r="CP91" s="51" t="s">
        <v>3480</v>
      </c>
      <c r="CQ91" s="51">
        <v>0</v>
      </c>
    </row>
    <row r="92" spans="1:95" ht="16.5" customHeight="1">
      <c r="A92" s="19">
        <v>91</v>
      </c>
      <c r="B92" s="19" t="str">
        <f>IF(法术书!AC43="","",法术书!AC43)</f>
        <v/>
      </c>
      <c r="C92" s="19" t="str">
        <f>IFERROR(VLOOKUP(B92,法术大全!$A:$W,5,FALSE),"")</f>
        <v/>
      </c>
      <c r="D92" s="284" t="str">
        <f>IFERROR(VLOOKUP(B92,法术大全!$A:$W,4,FALSE),"")</f>
        <v/>
      </c>
      <c r="E92" s="19">
        <v>91</v>
      </c>
      <c r="F92" s="285" t="str">
        <f t="shared" si="2"/>
        <v/>
      </c>
      <c r="G92" s="19"/>
      <c r="H92" s="19"/>
      <c r="I92" s="19"/>
      <c r="J92" s="19"/>
      <c r="K92" s="19"/>
      <c r="L92" s="19"/>
      <c r="CI92" s="361">
        <v>20</v>
      </c>
      <c r="CJ92" s="360">
        <v>6</v>
      </c>
      <c r="CN92" s="51" t="s">
        <v>456</v>
      </c>
      <c r="CO92" s="52" t="s">
        <v>457</v>
      </c>
      <c r="CP92" s="51" t="s">
        <v>293</v>
      </c>
      <c r="CQ92" s="51">
        <v>3</v>
      </c>
    </row>
    <row r="93" spans="1:95" ht="16.5" customHeight="1">
      <c r="A93" s="19">
        <v>92</v>
      </c>
      <c r="B93" s="19" t="str">
        <f>IF(法术书!AC44="","",法术书!AC44)</f>
        <v/>
      </c>
      <c r="C93" s="19" t="str">
        <f>IFERROR(VLOOKUP(B93,法术大全!$A:$W,5,FALSE),"")</f>
        <v/>
      </c>
      <c r="D93" s="284" t="str">
        <f>IFERROR(VLOOKUP(B93,法术大全!$A:$W,4,FALSE),"")</f>
        <v/>
      </c>
      <c r="E93" s="19">
        <v>92</v>
      </c>
      <c r="F93" s="285" t="str">
        <f t="shared" si="2"/>
        <v/>
      </c>
      <c r="G93" s="19"/>
      <c r="H93" s="19"/>
      <c r="I93" s="19"/>
      <c r="J93" s="19"/>
      <c r="K93" s="19"/>
      <c r="L93" s="19"/>
      <c r="CI93" s="361">
        <v>21</v>
      </c>
      <c r="CJ93" s="360">
        <v>7</v>
      </c>
      <c r="CN93" s="51" t="s">
        <v>3519</v>
      </c>
      <c r="CO93" s="52" t="s">
        <v>81</v>
      </c>
      <c r="CP93" s="51" t="s">
        <v>240</v>
      </c>
      <c r="CQ93" s="51">
        <v>5</v>
      </c>
    </row>
    <row r="94" spans="1:95" ht="16.5" customHeight="1">
      <c r="A94" s="19">
        <v>93</v>
      </c>
      <c r="B94" s="19" t="str">
        <f>IF(法术书!AC45="","",法术书!AC45)</f>
        <v/>
      </c>
      <c r="C94" s="19" t="str">
        <f>IFERROR(VLOOKUP(B94,法术大全!$A:$W,5,FALSE),"")</f>
        <v/>
      </c>
      <c r="D94" s="284" t="str">
        <f>IFERROR(VLOOKUP(B94,法术大全!$A:$W,4,FALSE),"")</f>
        <v/>
      </c>
      <c r="E94" s="19">
        <v>93</v>
      </c>
      <c r="F94" s="285" t="str">
        <f t="shared" si="2"/>
        <v/>
      </c>
      <c r="G94" s="19"/>
      <c r="H94" s="19"/>
      <c r="I94" s="19"/>
      <c r="J94" s="19"/>
      <c r="K94" s="19"/>
      <c r="L94" s="19"/>
      <c r="CI94" s="361">
        <v>22</v>
      </c>
      <c r="CJ94" s="360">
        <v>7</v>
      </c>
      <c r="CN94" s="51" t="s">
        <v>458</v>
      </c>
      <c r="CO94" s="52" t="s">
        <v>3520</v>
      </c>
      <c r="CP94" s="51" t="s">
        <v>3521</v>
      </c>
      <c r="CQ94" s="51">
        <v>1</v>
      </c>
    </row>
    <row r="95" spans="1:95" ht="16.5" customHeight="1">
      <c r="A95" s="19">
        <v>94</v>
      </c>
      <c r="B95" s="19" t="str">
        <f>IF(法术书!AC46="","",法术书!AC46)</f>
        <v/>
      </c>
      <c r="C95" s="19" t="str">
        <f>IFERROR(VLOOKUP(B95,法术大全!$A:$W,5,FALSE),"")</f>
        <v/>
      </c>
      <c r="D95" s="284" t="str">
        <f>IFERROR(VLOOKUP(B95,法术大全!$A:$W,4,FALSE),"")</f>
        <v/>
      </c>
      <c r="E95" s="19">
        <v>94</v>
      </c>
      <c r="F95" s="285" t="str">
        <f t="shared" si="2"/>
        <v/>
      </c>
      <c r="G95" s="19"/>
      <c r="H95" s="19"/>
      <c r="I95" s="19"/>
      <c r="J95" s="19"/>
      <c r="K95" s="19"/>
      <c r="L95" s="19"/>
      <c r="CI95" s="361">
        <v>23</v>
      </c>
      <c r="CJ95" s="360">
        <v>7</v>
      </c>
      <c r="CN95" s="51" t="s">
        <v>459</v>
      </c>
      <c r="CO95" s="52" t="s">
        <v>3522</v>
      </c>
      <c r="CP95" s="51" t="s">
        <v>202</v>
      </c>
      <c r="CQ95" s="51">
        <v>20</v>
      </c>
    </row>
    <row r="96" spans="1:95" ht="16.5" customHeight="1">
      <c r="A96" s="19">
        <v>95</v>
      </c>
      <c r="B96" s="19" t="str">
        <f>IF(法术书!AC47="","",法术书!AC47)</f>
        <v/>
      </c>
      <c r="C96" s="19" t="str">
        <f>IFERROR(VLOOKUP(B96,法术大全!$A:$W,5,FALSE),"")</f>
        <v/>
      </c>
      <c r="D96" s="284" t="str">
        <f>IFERROR(VLOOKUP(B96,法术大全!$A:$W,4,FALSE),"")</f>
        <v/>
      </c>
      <c r="E96" s="19">
        <v>95</v>
      </c>
      <c r="F96" s="285" t="str">
        <f t="shared" si="2"/>
        <v/>
      </c>
      <c r="G96" s="19"/>
      <c r="H96" s="19"/>
      <c r="I96" s="19"/>
      <c r="J96" s="19"/>
      <c r="K96" s="19"/>
      <c r="L96" s="19"/>
      <c r="CI96" s="361">
        <v>24</v>
      </c>
      <c r="CJ96" s="360">
        <v>7</v>
      </c>
      <c r="CN96" s="51" t="s">
        <v>460</v>
      </c>
      <c r="CO96" s="52" t="s">
        <v>3523</v>
      </c>
      <c r="CP96" s="51" t="s">
        <v>3456</v>
      </c>
      <c r="CQ96" s="51">
        <v>1</v>
      </c>
    </row>
    <row r="97" spans="1:95" ht="16.5" customHeight="1">
      <c r="A97" s="19">
        <v>96</v>
      </c>
      <c r="B97" s="19" t="str">
        <f>IF(法术书!AC48="","",法术书!AC48)</f>
        <v/>
      </c>
      <c r="C97" s="19" t="str">
        <f>IFERROR(VLOOKUP(B97,法术大全!$A:$W,5,FALSE),"")</f>
        <v/>
      </c>
      <c r="D97" s="284" t="str">
        <f>IFERROR(VLOOKUP(B97,法术大全!$A:$W,4,FALSE),"")</f>
        <v/>
      </c>
      <c r="E97" s="19">
        <v>96</v>
      </c>
      <c r="F97" s="285" t="str">
        <f t="shared" si="2"/>
        <v/>
      </c>
      <c r="G97" s="19"/>
      <c r="H97" s="19"/>
      <c r="I97" s="19"/>
      <c r="J97" s="19"/>
      <c r="K97" s="19"/>
      <c r="L97" s="19"/>
      <c r="CI97" s="361">
        <v>25</v>
      </c>
      <c r="CJ97" s="360">
        <v>8</v>
      </c>
      <c r="CN97" s="51" t="s">
        <v>461</v>
      </c>
      <c r="CO97" s="52" t="s">
        <v>3524</v>
      </c>
      <c r="CP97" s="51" t="s">
        <v>3467</v>
      </c>
      <c r="CQ97" s="51">
        <v>1</v>
      </c>
    </row>
    <row r="98" spans="1:95" ht="16.5" customHeight="1">
      <c r="A98" s="19">
        <v>97</v>
      </c>
      <c r="B98" s="19" t="str">
        <f>IF(法术书!AC49="","",法术书!AC49)</f>
        <v/>
      </c>
      <c r="C98" s="19" t="str">
        <f>IFERROR(VLOOKUP(B98,法术大全!$A:$W,5,FALSE),"")</f>
        <v/>
      </c>
      <c r="D98" s="284" t="str">
        <f>IFERROR(VLOOKUP(B98,法术大全!$A:$W,4,FALSE),"")</f>
        <v/>
      </c>
      <c r="E98" s="19">
        <v>97</v>
      </c>
      <c r="F98" s="285" t="str">
        <f t="shared" si="2"/>
        <v/>
      </c>
      <c r="G98" s="19"/>
      <c r="H98" s="19"/>
      <c r="I98" s="19"/>
      <c r="J98" s="19"/>
      <c r="K98" s="19"/>
      <c r="L98" s="19"/>
      <c r="CI98" s="361">
        <v>26</v>
      </c>
      <c r="CJ98" s="360">
        <v>8</v>
      </c>
      <c r="CN98" s="51" t="s">
        <v>462</v>
      </c>
      <c r="CO98" s="54" t="s">
        <v>3525</v>
      </c>
      <c r="CP98" s="51" t="s">
        <v>240</v>
      </c>
      <c r="CQ98" s="51">
        <v>0</v>
      </c>
    </row>
    <row r="99" spans="1:95" ht="16.5" customHeight="1">
      <c r="A99" s="19">
        <v>98</v>
      </c>
      <c r="B99" s="19" t="str">
        <f>IF(法术书!AC50="","",法术书!AC50)</f>
        <v/>
      </c>
      <c r="C99" s="19" t="str">
        <f>IFERROR(VLOOKUP(B99,法术大全!$A:$W,5,FALSE),"")</f>
        <v/>
      </c>
      <c r="D99" s="284" t="str">
        <f>IFERROR(VLOOKUP(B99,法术大全!$A:$W,4,FALSE),"")</f>
        <v/>
      </c>
      <c r="E99" s="19">
        <v>98</v>
      </c>
      <c r="F99" s="285" t="str">
        <f t="shared" si="2"/>
        <v/>
      </c>
      <c r="G99" s="19"/>
      <c r="H99" s="19"/>
      <c r="I99" s="19"/>
      <c r="J99" s="19"/>
      <c r="K99" s="19"/>
      <c r="L99" s="19"/>
      <c r="CI99" s="361">
        <v>27</v>
      </c>
      <c r="CJ99" s="360">
        <v>8</v>
      </c>
      <c r="CN99" s="51" t="s">
        <v>463</v>
      </c>
      <c r="CO99" s="54" t="s">
        <v>3526</v>
      </c>
      <c r="CP99" s="51" t="s">
        <v>3498</v>
      </c>
      <c r="CQ99" s="51">
        <v>5</v>
      </c>
    </row>
    <row r="100" spans="1:95" ht="16.5" customHeight="1">
      <c r="A100" s="19">
        <v>99</v>
      </c>
      <c r="B100" s="19" t="str">
        <f>IF(法术书!AC51="","",法术书!AC51)</f>
        <v/>
      </c>
      <c r="C100" s="19" t="str">
        <f>IFERROR(VLOOKUP(B100,法术大全!$A:$W,5,FALSE),"")</f>
        <v/>
      </c>
      <c r="D100" s="284" t="str">
        <f>IFERROR(VLOOKUP(B100,法术大全!$A:$W,4,FALSE),"")</f>
        <v/>
      </c>
      <c r="E100" s="19">
        <v>99</v>
      </c>
      <c r="F100" s="285" t="str">
        <f t="shared" si="2"/>
        <v/>
      </c>
      <c r="G100" s="19"/>
      <c r="H100" s="19"/>
      <c r="I100" s="19"/>
      <c r="J100" s="19"/>
      <c r="K100" s="19"/>
      <c r="L100" s="19"/>
      <c r="CI100" s="361">
        <v>28</v>
      </c>
      <c r="CJ100" s="360">
        <v>8</v>
      </c>
      <c r="CN100" s="51" t="s">
        <v>464</v>
      </c>
      <c r="CO100" s="52" t="s">
        <v>81</v>
      </c>
      <c r="CP100" s="51" t="s">
        <v>3467</v>
      </c>
      <c r="CQ100" s="51">
        <v>1</v>
      </c>
    </row>
    <row r="101" spans="1:95" ht="16.5" customHeight="1">
      <c r="A101" s="19">
        <v>100</v>
      </c>
      <c r="B101" s="19" t="str">
        <f>IF(法术书!AC52="","",法术书!AC52)</f>
        <v/>
      </c>
      <c r="C101" s="19" t="str">
        <f>IFERROR(VLOOKUP(B101,法术大全!$A:$W,5,FALSE),"")</f>
        <v/>
      </c>
      <c r="D101" s="284" t="str">
        <f>IFERROR(VLOOKUP(B101,法术大全!$A:$W,4,FALSE),"")</f>
        <v/>
      </c>
      <c r="E101" s="19">
        <v>100</v>
      </c>
      <c r="F101" s="285" t="str">
        <f t="shared" si="2"/>
        <v/>
      </c>
      <c r="G101" s="19"/>
      <c r="H101" s="19"/>
      <c r="I101" s="19"/>
      <c r="J101" s="19"/>
      <c r="K101" s="19"/>
      <c r="L101" s="19"/>
      <c r="CI101" s="361">
        <v>29</v>
      </c>
      <c r="CJ101" s="360">
        <v>9</v>
      </c>
      <c r="CN101" s="51" t="s">
        <v>355</v>
      </c>
      <c r="CO101" s="56" t="s">
        <v>3527</v>
      </c>
      <c r="CP101" s="51" t="s">
        <v>293</v>
      </c>
      <c r="CQ101" s="51">
        <v>8</v>
      </c>
    </row>
    <row r="102" spans="1:95" ht="16.5" customHeight="1">
      <c r="A102" s="19">
        <v>101</v>
      </c>
      <c r="B102" s="19" t="str">
        <f>IF(法术书!AH3="","",法术书!AH3)</f>
        <v/>
      </c>
      <c r="C102" s="19" t="str">
        <f>IFERROR(VLOOKUP(B102,法术大全!$A:$W,5,FALSE),"")</f>
        <v/>
      </c>
      <c r="D102" s="284" t="str">
        <f>IFERROR(VLOOKUP(B102,法术大全!$A:$W,4,FALSE),"")</f>
        <v/>
      </c>
      <c r="E102" s="19">
        <v>101</v>
      </c>
      <c r="F102" s="285" t="str">
        <f t="shared" ref="F102:F133" si="3">B102</f>
        <v/>
      </c>
      <c r="G102" s="19"/>
      <c r="H102" s="19"/>
      <c r="I102" s="19"/>
      <c r="J102" s="19"/>
      <c r="K102" s="19"/>
      <c r="L102" s="19"/>
      <c r="CI102" s="362">
        <v>30</v>
      </c>
      <c r="CJ102" s="353">
        <v>9</v>
      </c>
      <c r="CN102" s="51" t="s">
        <v>356</v>
      </c>
      <c r="CO102" s="56" t="s">
        <v>3528</v>
      </c>
      <c r="CP102" s="51" t="s">
        <v>286</v>
      </c>
      <c r="CQ102" s="51">
        <v>9</v>
      </c>
    </row>
    <row r="103" spans="1:95" ht="16.5" customHeight="1">
      <c r="A103" s="19">
        <v>102</v>
      </c>
      <c r="B103" s="19" t="str">
        <f>IF(法术书!AH4="","",法术书!AH4)</f>
        <v/>
      </c>
      <c r="C103" s="19" t="str">
        <f>IFERROR(VLOOKUP(B103,法术大全!$A:$W,5,FALSE),"")</f>
        <v/>
      </c>
      <c r="D103" s="284" t="str">
        <f>IFERROR(VLOOKUP(B103,法术大全!$A:$W,4,FALSE),"")</f>
        <v/>
      </c>
      <c r="E103" s="19">
        <v>102</v>
      </c>
      <c r="F103" s="285" t="str">
        <f t="shared" si="3"/>
        <v/>
      </c>
      <c r="G103" s="19"/>
      <c r="H103" s="19"/>
      <c r="I103" s="19"/>
      <c r="J103" s="19"/>
      <c r="K103" s="19"/>
      <c r="L103" s="19"/>
      <c r="CN103" s="51" t="s">
        <v>357</v>
      </c>
      <c r="CO103" s="56" t="s">
        <v>3529</v>
      </c>
      <c r="CP103" s="51" t="s">
        <v>277</v>
      </c>
      <c r="CQ103" s="51">
        <v>5</v>
      </c>
    </row>
    <row r="104" spans="1:95" ht="16.5" customHeight="1">
      <c r="A104" s="19">
        <v>103</v>
      </c>
      <c r="B104" s="19" t="str">
        <f>IF(法术书!AH5="","",法术书!AH5)</f>
        <v/>
      </c>
      <c r="C104" s="19" t="str">
        <f>IFERROR(VLOOKUP(B104,法术大全!$A:$W,5,FALSE),"")</f>
        <v/>
      </c>
      <c r="D104" s="284" t="str">
        <f>IFERROR(VLOOKUP(B104,法术大全!$A:$W,4,FALSE),"")</f>
        <v/>
      </c>
      <c r="E104" s="19">
        <v>103</v>
      </c>
      <c r="F104" s="285" t="str">
        <f t="shared" si="3"/>
        <v/>
      </c>
      <c r="G104" s="19"/>
      <c r="H104" s="19"/>
      <c r="I104" s="19"/>
      <c r="J104" s="19"/>
      <c r="K104" s="19"/>
      <c r="L104" s="19"/>
      <c r="CN104" s="51" t="s">
        <v>358</v>
      </c>
      <c r="CO104" s="56" t="s">
        <v>3530</v>
      </c>
      <c r="CP104" s="51" t="s">
        <v>3531</v>
      </c>
      <c r="CQ104" s="51">
        <v>6</v>
      </c>
    </row>
    <row r="105" spans="1:95" ht="16.5" customHeight="1">
      <c r="A105" s="19">
        <v>104</v>
      </c>
      <c r="B105" s="19" t="str">
        <f>IF(法术书!AH6="","",法术书!AH6)</f>
        <v/>
      </c>
      <c r="C105" s="19" t="str">
        <f>IFERROR(VLOOKUP(B105,法术大全!$A:$W,5,FALSE),"")</f>
        <v/>
      </c>
      <c r="D105" s="284" t="str">
        <f>IFERROR(VLOOKUP(B105,法术大全!$A:$W,4,FALSE),"")</f>
        <v/>
      </c>
      <c r="E105" s="19">
        <v>104</v>
      </c>
      <c r="F105" s="285" t="str">
        <f t="shared" si="3"/>
        <v/>
      </c>
      <c r="G105" s="19"/>
      <c r="H105" s="19"/>
      <c r="I105" s="19"/>
      <c r="J105" s="19"/>
      <c r="K105" s="19"/>
      <c r="L105" s="19"/>
      <c r="CN105" s="51" t="s">
        <v>359</v>
      </c>
      <c r="CO105" s="56" t="s">
        <v>3532</v>
      </c>
      <c r="CP105" s="51" t="s">
        <v>300</v>
      </c>
      <c r="CQ105" s="51">
        <v>6</v>
      </c>
    </row>
    <row r="106" spans="1:95" ht="16.5" customHeight="1">
      <c r="A106" s="19">
        <v>105</v>
      </c>
      <c r="B106" s="19" t="str">
        <f>IF(法术书!AH7="","",法术书!AH7)</f>
        <v/>
      </c>
      <c r="C106" s="19" t="str">
        <f>IFERROR(VLOOKUP(B106,法术大全!$A:$W,5,FALSE),"")</f>
        <v/>
      </c>
      <c r="D106" s="284" t="str">
        <f>IFERROR(VLOOKUP(B106,法术大全!$A:$W,4,FALSE),"")</f>
        <v/>
      </c>
      <c r="E106" s="19">
        <v>105</v>
      </c>
      <c r="F106" s="285" t="str">
        <f t="shared" si="3"/>
        <v/>
      </c>
      <c r="G106" s="19"/>
      <c r="H106" s="19"/>
      <c r="I106" s="19"/>
      <c r="J106" s="19"/>
      <c r="K106" s="19"/>
      <c r="L106" s="19"/>
      <c r="CN106" s="51" t="s">
        <v>360</v>
      </c>
      <c r="CO106" s="56" t="s">
        <v>3533</v>
      </c>
      <c r="CP106" s="51" t="s">
        <v>214</v>
      </c>
      <c r="CQ106" s="51">
        <v>5</v>
      </c>
    </row>
    <row r="107" spans="1:95" ht="16.5" customHeight="1">
      <c r="A107" s="19">
        <v>106</v>
      </c>
      <c r="B107" s="19" t="str">
        <f>IF(法术书!AH8="","",法术书!AH8)</f>
        <v/>
      </c>
      <c r="C107" s="19" t="str">
        <f>IFERROR(VLOOKUP(B107,法术大全!$A:$W,5,FALSE),"")</f>
        <v/>
      </c>
      <c r="D107" s="284" t="str">
        <f>IFERROR(VLOOKUP(B107,法术大全!$A:$W,4,FALSE),"")</f>
        <v/>
      </c>
      <c r="E107" s="19">
        <v>106</v>
      </c>
      <c r="F107" s="285" t="str">
        <f t="shared" si="3"/>
        <v/>
      </c>
      <c r="G107" s="19"/>
      <c r="H107" s="19"/>
      <c r="I107" s="19"/>
      <c r="J107" s="19"/>
      <c r="K107" s="19"/>
      <c r="L107" s="19"/>
      <c r="CN107" s="51" t="s">
        <v>361</v>
      </c>
      <c r="CO107" s="56" t="s">
        <v>3534</v>
      </c>
      <c r="CP107" s="51" t="s">
        <v>240</v>
      </c>
      <c r="CQ107" s="51">
        <v>8</v>
      </c>
    </row>
    <row r="108" spans="1:95" ht="16.5" customHeight="1">
      <c r="A108" s="19">
        <v>107</v>
      </c>
      <c r="B108" s="19" t="str">
        <f>IF(法术书!AH9="","",法术书!AH9)</f>
        <v/>
      </c>
      <c r="C108" s="19" t="str">
        <f>IFERROR(VLOOKUP(B108,法术大全!$A:$W,5,FALSE),"")</f>
        <v/>
      </c>
      <c r="D108" s="284" t="str">
        <f>IFERROR(VLOOKUP(B108,法术大全!$A:$W,4,FALSE),"")</f>
        <v/>
      </c>
      <c r="E108" s="19">
        <v>107</v>
      </c>
      <c r="F108" s="285" t="str">
        <f t="shared" si="3"/>
        <v/>
      </c>
      <c r="G108" s="19"/>
      <c r="H108" s="19"/>
      <c r="I108" s="19"/>
      <c r="J108" s="19"/>
      <c r="K108" s="19"/>
      <c r="L108" s="19"/>
      <c r="CN108" s="51" t="s">
        <v>362</v>
      </c>
      <c r="CO108" s="56" t="s">
        <v>3535</v>
      </c>
      <c r="CP108" s="51" t="s">
        <v>291</v>
      </c>
      <c r="CQ108" s="51">
        <v>5</v>
      </c>
    </row>
    <row r="109" spans="1:95" ht="16.5" customHeight="1">
      <c r="A109" s="19">
        <v>108</v>
      </c>
      <c r="B109" s="19" t="str">
        <f>IF(法术书!AH10="","",法术书!AH10)</f>
        <v/>
      </c>
      <c r="C109" s="19" t="str">
        <f>IFERROR(VLOOKUP(B109,法术大全!$A:$W,5,FALSE),"")</f>
        <v/>
      </c>
      <c r="D109" s="284" t="str">
        <f>IFERROR(VLOOKUP(B109,法术大全!$A:$W,4,FALSE),"")</f>
        <v/>
      </c>
      <c r="E109" s="19">
        <v>108</v>
      </c>
      <c r="F109" s="285" t="str">
        <f t="shared" si="3"/>
        <v/>
      </c>
      <c r="G109" s="19"/>
      <c r="H109" s="19"/>
      <c r="I109" s="19"/>
      <c r="J109" s="19"/>
      <c r="K109" s="19"/>
      <c r="L109" s="19"/>
      <c r="CN109" s="51" t="s">
        <v>363</v>
      </c>
      <c r="CO109" s="56" t="s">
        <v>3536</v>
      </c>
      <c r="CP109" s="51" t="s">
        <v>253</v>
      </c>
      <c r="CQ109" s="51">
        <v>2</v>
      </c>
    </row>
    <row r="110" spans="1:95" ht="16.5" customHeight="1">
      <c r="A110" s="19">
        <v>109</v>
      </c>
      <c r="B110" s="19" t="str">
        <f>IF(法术书!AH11="","",法术书!AH11)</f>
        <v/>
      </c>
      <c r="C110" s="19" t="str">
        <f>IFERROR(VLOOKUP(B110,法术大全!$A:$W,5,FALSE),"")</f>
        <v/>
      </c>
      <c r="D110" s="284" t="str">
        <f>IFERROR(VLOOKUP(B110,法术大全!$A:$W,4,FALSE),"")</f>
        <v/>
      </c>
      <c r="E110" s="19">
        <v>109</v>
      </c>
      <c r="F110" s="285" t="str">
        <f t="shared" si="3"/>
        <v/>
      </c>
      <c r="G110" s="19"/>
      <c r="H110" s="19"/>
      <c r="I110" s="19"/>
      <c r="J110" s="19"/>
      <c r="K110" s="19"/>
      <c r="L110" s="19"/>
      <c r="CN110" s="51" t="s">
        <v>364</v>
      </c>
      <c r="CO110" s="56" t="s">
        <v>3537</v>
      </c>
      <c r="CP110" s="51" t="s">
        <v>214</v>
      </c>
      <c r="CQ110" s="51">
        <v>5</v>
      </c>
    </row>
    <row r="111" spans="1:95" ht="16.5" customHeight="1">
      <c r="A111" s="19">
        <v>110</v>
      </c>
      <c r="B111" s="19" t="str">
        <f>IF(法术书!AH12="","",法术书!AH12)</f>
        <v/>
      </c>
      <c r="C111" s="19" t="str">
        <f>IFERROR(VLOOKUP(B111,法术大全!$A:$W,5,FALSE),"")</f>
        <v/>
      </c>
      <c r="D111" s="284" t="str">
        <f>IFERROR(VLOOKUP(B111,法术大全!$A:$W,4,FALSE),"")</f>
        <v/>
      </c>
      <c r="E111" s="19">
        <v>110</v>
      </c>
      <c r="F111" s="285" t="str">
        <f t="shared" si="3"/>
        <v/>
      </c>
      <c r="G111" s="19"/>
      <c r="H111" s="19"/>
      <c r="I111" s="19"/>
      <c r="J111" s="19"/>
      <c r="K111" s="19"/>
      <c r="L111" s="19"/>
      <c r="CN111" s="51" t="s">
        <v>365</v>
      </c>
      <c r="CO111" s="56" t="s">
        <v>3538</v>
      </c>
      <c r="CP111" s="51" t="s">
        <v>277</v>
      </c>
      <c r="CQ111" s="51">
        <v>8</v>
      </c>
    </row>
    <row r="112" spans="1:95" ht="16.5" customHeight="1">
      <c r="A112" s="19">
        <v>111</v>
      </c>
      <c r="B112" s="19" t="str">
        <f>IF(法术书!AH13="","",法术书!AH13)</f>
        <v/>
      </c>
      <c r="C112" s="19" t="str">
        <f>IFERROR(VLOOKUP(B112,法术大全!$A:$W,5,FALSE),"")</f>
        <v/>
      </c>
      <c r="D112" s="284" t="str">
        <f>IFERROR(VLOOKUP(B112,法术大全!$A:$W,4,FALSE),"")</f>
        <v/>
      </c>
      <c r="E112" s="19">
        <v>111</v>
      </c>
      <c r="F112" s="285" t="str">
        <f t="shared" si="3"/>
        <v/>
      </c>
      <c r="G112" s="19"/>
      <c r="H112" s="19"/>
      <c r="I112" s="19"/>
      <c r="J112" s="19"/>
      <c r="K112" s="19"/>
      <c r="L112" s="19"/>
      <c r="CN112" s="51" t="s">
        <v>366</v>
      </c>
      <c r="CO112" s="56" t="s">
        <v>3539</v>
      </c>
      <c r="CP112" s="51" t="s">
        <v>277</v>
      </c>
      <c r="CQ112" s="51">
        <v>5</v>
      </c>
    </row>
    <row r="113" spans="1:95" ht="16.5" customHeight="1">
      <c r="A113" s="19">
        <v>112</v>
      </c>
      <c r="B113" s="19" t="str">
        <f>IF(法术书!AH14="","",法术书!AH14)</f>
        <v/>
      </c>
      <c r="C113" s="19" t="str">
        <f>IFERROR(VLOOKUP(B113,法术大全!$A:$W,5,FALSE),"")</f>
        <v/>
      </c>
      <c r="D113" s="284" t="str">
        <f>IFERROR(VLOOKUP(B113,法术大全!$A:$W,4,FALSE),"")</f>
        <v/>
      </c>
      <c r="E113" s="19">
        <v>112</v>
      </c>
      <c r="F113" s="285" t="str">
        <f t="shared" si="3"/>
        <v/>
      </c>
      <c r="G113" s="19"/>
      <c r="H113" s="19"/>
      <c r="I113" s="19"/>
      <c r="J113" s="19"/>
      <c r="K113" s="19"/>
      <c r="L113" s="19"/>
      <c r="CN113" s="51" t="s">
        <v>367</v>
      </c>
      <c r="CO113" s="56" t="s">
        <v>3540</v>
      </c>
      <c r="CP113" s="51" t="s">
        <v>277</v>
      </c>
      <c r="CQ113" s="51">
        <v>3</v>
      </c>
    </row>
    <row r="114" spans="1:95" ht="16.5" customHeight="1">
      <c r="A114" s="19">
        <v>113</v>
      </c>
      <c r="B114" s="19" t="str">
        <f>IF(法术书!AH15="","",法术书!AH15)</f>
        <v/>
      </c>
      <c r="C114" s="19" t="str">
        <f>IFERROR(VLOOKUP(B114,法术大全!$A:$W,5,FALSE),"")</f>
        <v/>
      </c>
      <c r="D114" s="284" t="str">
        <f>IFERROR(VLOOKUP(B114,法术大全!$A:$W,4,FALSE),"")</f>
        <v/>
      </c>
      <c r="E114" s="19">
        <v>113</v>
      </c>
      <c r="F114" s="285" t="str">
        <f t="shared" si="3"/>
        <v/>
      </c>
      <c r="G114" s="19"/>
      <c r="H114" s="19"/>
      <c r="I114" s="19"/>
      <c r="J114" s="19"/>
      <c r="K114" s="19"/>
      <c r="L114" s="19"/>
      <c r="CN114" s="51" t="s">
        <v>368</v>
      </c>
      <c r="CO114" s="56" t="s">
        <v>3541</v>
      </c>
      <c r="CP114" s="51" t="s">
        <v>286</v>
      </c>
      <c r="CQ114" s="51">
        <v>8</v>
      </c>
    </row>
    <row r="115" spans="1:95" ht="16.5" customHeight="1">
      <c r="A115" s="19">
        <v>114</v>
      </c>
      <c r="B115" s="19" t="str">
        <f>IF(法术书!AH16="","",法术书!AH16)</f>
        <v/>
      </c>
      <c r="C115" s="19" t="str">
        <f>IFERROR(VLOOKUP(B115,法术大全!$A:$W,5,FALSE),"")</f>
        <v/>
      </c>
      <c r="D115" s="284" t="str">
        <f>IFERROR(VLOOKUP(B115,法术大全!$A:$W,4,FALSE),"")</f>
        <v/>
      </c>
      <c r="E115" s="19">
        <v>114</v>
      </c>
      <c r="F115" s="285" t="str">
        <f t="shared" si="3"/>
        <v/>
      </c>
      <c r="G115" s="19"/>
      <c r="H115" s="19"/>
      <c r="I115" s="19"/>
      <c r="J115" s="19"/>
      <c r="K115" s="19"/>
      <c r="L115" s="19"/>
      <c r="CN115" s="51" t="s">
        <v>369</v>
      </c>
      <c r="CO115" s="56" t="s">
        <v>3542</v>
      </c>
      <c r="CP115" s="51" t="s">
        <v>293</v>
      </c>
      <c r="CQ115" s="51">
        <v>10</v>
      </c>
    </row>
    <row r="116" spans="1:95" ht="16.5" customHeight="1">
      <c r="A116" s="19">
        <v>115</v>
      </c>
      <c r="B116" s="19" t="str">
        <f>IF(法术书!AH17="","",法术书!AH17)</f>
        <v/>
      </c>
      <c r="C116" s="19" t="str">
        <f>IFERROR(VLOOKUP(B116,法术大全!$A:$W,5,FALSE),"")</f>
        <v/>
      </c>
      <c r="D116" s="284" t="str">
        <f>IFERROR(VLOOKUP(B116,法术大全!$A:$W,4,FALSE),"")</f>
        <v/>
      </c>
      <c r="E116" s="19">
        <v>115</v>
      </c>
      <c r="F116" s="285" t="str">
        <f t="shared" si="3"/>
        <v/>
      </c>
      <c r="G116" s="19"/>
      <c r="H116" s="19"/>
      <c r="I116" s="19"/>
      <c r="J116" s="19"/>
      <c r="K116" s="19"/>
      <c r="L116" s="19"/>
      <c r="CN116" s="51" t="s">
        <v>370</v>
      </c>
      <c r="CO116" s="56" t="s">
        <v>3543</v>
      </c>
      <c r="CP116" s="51" t="s">
        <v>240</v>
      </c>
      <c r="CQ116" s="51">
        <v>5</v>
      </c>
    </row>
    <row r="117" spans="1:95" ht="16.5" customHeight="1">
      <c r="A117" s="19">
        <v>116</v>
      </c>
      <c r="B117" s="19" t="str">
        <f>IF(法术书!AH18="","",法术书!AH18)</f>
        <v/>
      </c>
      <c r="C117" s="19" t="str">
        <f>IFERROR(VLOOKUP(B117,法术大全!$A:$W,5,FALSE),"")</f>
        <v/>
      </c>
      <c r="D117" s="284" t="str">
        <f>IFERROR(VLOOKUP(B117,法术大全!$A:$W,4,FALSE),"")</f>
        <v/>
      </c>
      <c r="E117" s="19">
        <v>116</v>
      </c>
      <c r="F117" s="285" t="str">
        <f t="shared" si="3"/>
        <v/>
      </c>
      <c r="G117" s="19"/>
      <c r="H117" s="19"/>
      <c r="I117" s="19"/>
      <c r="J117" s="19"/>
      <c r="K117" s="19"/>
      <c r="L117" s="19"/>
      <c r="CN117" s="51" t="s">
        <v>371</v>
      </c>
      <c r="CO117" s="56" t="s">
        <v>3544</v>
      </c>
      <c r="CP117" s="51" t="s">
        <v>240</v>
      </c>
      <c r="CQ117" s="51">
        <v>5</v>
      </c>
    </row>
    <row r="118" spans="1:95" ht="16.5" customHeight="1">
      <c r="A118" s="19">
        <v>117</v>
      </c>
      <c r="B118" s="19" t="str">
        <f>IF(法术书!AH19="","",法术书!AH19)</f>
        <v/>
      </c>
      <c r="C118" s="19" t="str">
        <f>IFERROR(VLOOKUP(B118,法术大全!$A:$W,5,FALSE),"")</f>
        <v/>
      </c>
      <c r="D118" s="284" t="str">
        <f>IFERROR(VLOOKUP(B118,法术大全!$A:$W,4,FALSE),"")</f>
        <v/>
      </c>
      <c r="E118" s="19">
        <v>117</v>
      </c>
      <c r="F118" s="285" t="str">
        <f t="shared" si="3"/>
        <v/>
      </c>
      <c r="G118" s="19"/>
      <c r="H118" s="19"/>
      <c r="I118" s="19"/>
      <c r="J118" s="19"/>
      <c r="K118" s="19"/>
      <c r="L118" s="19"/>
      <c r="CN118" s="51" t="s">
        <v>372</v>
      </c>
      <c r="CO118" s="56" t="s">
        <v>3545</v>
      </c>
      <c r="CP118" s="51" t="s">
        <v>253</v>
      </c>
      <c r="CQ118" s="51">
        <v>3</v>
      </c>
    </row>
    <row r="119" spans="1:95" ht="16.5" customHeight="1">
      <c r="A119" s="19">
        <v>118</v>
      </c>
      <c r="B119" s="19" t="str">
        <f>IF(法术书!AH20="","",法术书!AH20)</f>
        <v/>
      </c>
      <c r="C119" s="19" t="str">
        <f>IFERROR(VLOOKUP(B119,法术大全!$A:$W,5,FALSE),"")</f>
        <v/>
      </c>
      <c r="D119" s="284" t="str">
        <f>IFERROR(VLOOKUP(B119,法术大全!$A:$W,4,FALSE),"")</f>
        <v/>
      </c>
      <c r="E119" s="19">
        <v>118</v>
      </c>
      <c r="F119" s="285" t="str">
        <f t="shared" si="3"/>
        <v/>
      </c>
      <c r="G119" s="19"/>
      <c r="H119" s="19"/>
      <c r="I119" s="19"/>
      <c r="J119" s="19"/>
      <c r="K119" s="19"/>
      <c r="L119" s="19"/>
      <c r="CM119" s="57" t="s">
        <v>3567</v>
      </c>
      <c r="CN119" s="51" t="s">
        <v>373</v>
      </c>
      <c r="CO119" s="56" t="s">
        <v>3546</v>
      </c>
      <c r="CP119" s="51" t="s">
        <v>300</v>
      </c>
      <c r="CQ119" s="51">
        <v>5</v>
      </c>
    </row>
    <row r="120" spans="1:95" ht="16.5" customHeight="1">
      <c r="A120" s="19">
        <v>119</v>
      </c>
      <c r="B120" s="19" t="str">
        <f>IF(法术书!AH21="","",法术书!AH21)</f>
        <v/>
      </c>
      <c r="C120" s="19" t="str">
        <f>IFERROR(VLOOKUP(B120,法术大全!$A:$W,5,FALSE),"")</f>
        <v/>
      </c>
      <c r="D120" s="284" t="str">
        <f>IFERROR(VLOOKUP(B120,法术大全!$A:$W,4,FALSE),"")</f>
        <v/>
      </c>
      <c r="E120" s="19">
        <v>119</v>
      </c>
      <c r="F120" s="285" t="str">
        <f t="shared" si="3"/>
        <v/>
      </c>
      <c r="G120" s="19"/>
      <c r="H120" s="19"/>
      <c r="I120" s="19"/>
      <c r="J120" s="19"/>
      <c r="K120" s="19"/>
      <c r="L120" s="19"/>
      <c r="CM120" s="57" t="s">
        <v>3568</v>
      </c>
      <c r="CN120" s="53" t="s">
        <v>3547</v>
      </c>
      <c r="CO120" s="56"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0" s="51" t="s">
        <v>3489</v>
      </c>
      <c r="CQ120" s="51">
        <v>0</v>
      </c>
    </row>
    <row r="121" spans="1:95" ht="16.5" customHeight="1">
      <c r="A121" s="19">
        <v>120</v>
      </c>
      <c r="B121" s="19" t="str">
        <f>IF(法术书!AH22="","",法术书!AH22)</f>
        <v/>
      </c>
      <c r="C121" s="19" t="str">
        <f>IFERROR(VLOOKUP(B121,法术大全!$A:$W,5,FALSE),"")</f>
        <v/>
      </c>
      <c r="D121" s="284" t="str">
        <f>IFERROR(VLOOKUP(B121,法术大全!$A:$W,4,FALSE),"")</f>
        <v/>
      </c>
      <c r="E121" s="19">
        <v>120</v>
      </c>
      <c r="F121" s="285" t="str">
        <f t="shared" si="3"/>
        <v/>
      </c>
      <c r="G121" s="19"/>
      <c r="H121" s="19"/>
      <c r="I121" s="19"/>
      <c r="J121" s="19"/>
      <c r="K121" s="19"/>
      <c r="L121" s="19"/>
      <c r="CM121"/>
      <c r="CN121" s="53" t="s">
        <v>3548</v>
      </c>
      <c r="CO121" s="56"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1" s="51" t="s">
        <v>3456</v>
      </c>
      <c r="CQ121" s="51">
        <v>0.5</v>
      </c>
    </row>
    <row r="122" spans="1:95" ht="16.5" customHeight="1">
      <c r="A122" s="19">
        <v>121</v>
      </c>
      <c r="B122" s="19" t="str">
        <f>IF(法术书!AH23="","",法术书!AH23)</f>
        <v/>
      </c>
      <c r="C122" s="19" t="str">
        <f>IFERROR(VLOOKUP(B122,法术大全!$A:$W,5,FALSE),"")</f>
        <v/>
      </c>
      <c r="D122" s="284" t="str">
        <f>IFERROR(VLOOKUP(B122,法术大全!$A:$W,4,FALSE),"")</f>
        <v/>
      </c>
      <c r="E122" s="19">
        <v>121</v>
      </c>
      <c r="F122" s="285" t="str">
        <f t="shared" si="3"/>
        <v/>
      </c>
      <c r="G122" s="19"/>
      <c r="H122" s="19"/>
      <c r="I122" s="19"/>
      <c r="J122" s="19"/>
      <c r="K122" s="19"/>
      <c r="L122" s="19"/>
      <c r="CM122"/>
      <c r="CN122" s="53" t="s">
        <v>3549</v>
      </c>
      <c r="CO122" s="56"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2" s="51" t="s">
        <v>3456</v>
      </c>
      <c r="CQ122" s="51">
        <v>0</v>
      </c>
    </row>
    <row r="123" spans="1:95" ht="16.5" customHeight="1">
      <c r="A123" s="19">
        <v>122</v>
      </c>
      <c r="B123" s="19" t="str">
        <f>IF(法术书!AH24="","",法术书!AH24)</f>
        <v/>
      </c>
      <c r="C123" s="19" t="str">
        <f>IFERROR(VLOOKUP(B123,法术大全!$A:$W,5,FALSE),"")</f>
        <v/>
      </c>
      <c r="D123" s="284" t="str">
        <f>IFERROR(VLOOKUP(B123,法术大全!$A:$W,4,FALSE),"")</f>
        <v/>
      </c>
      <c r="E123" s="19">
        <v>122</v>
      </c>
      <c r="F123" s="285" t="str">
        <f t="shared" si="3"/>
        <v/>
      </c>
      <c r="G123" s="19"/>
      <c r="H123" s="19"/>
      <c r="I123" s="19"/>
      <c r="J123" s="19"/>
      <c r="K123" s="19"/>
      <c r="L123" s="19"/>
      <c r="CM123"/>
      <c r="CN123" s="53" t="s">
        <v>3550</v>
      </c>
      <c r="CO123" s="56"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3" s="51" t="s">
        <v>214</v>
      </c>
      <c r="CQ123" s="51">
        <v>3</v>
      </c>
    </row>
    <row r="124" spans="1:95" ht="16.5" customHeight="1">
      <c r="A124" s="19">
        <v>123</v>
      </c>
      <c r="B124" s="19" t="str">
        <f>IF(法术书!AH25="","",法术书!AH25)</f>
        <v/>
      </c>
      <c r="C124" s="19" t="str">
        <f>IFERROR(VLOOKUP(B124,法术大全!$A:$W,5,FALSE),"")</f>
        <v/>
      </c>
      <c r="D124" s="284" t="str">
        <f>IFERROR(VLOOKUP(B124,法术大全!$A:$W,4,FALSE),"")</f>
        <v/>
      </c>
      <c r="E124" s="19">
        <v>123</v>
      </c>
      <c r="F124" s="285" t="str">
        <f t="shared" si="3"/>
        <v/>
      </c>
      <c r="G124" s="19"/>
      <c r="H124" s="19"/>
      <c r="I124" s="19"/>
      <c r="J124" s="19"/>
      <c r="K124" s="19"/>
      <c r="L124" s="19"/>
      <c r="CM124" s="57" t="s">
        <v>3569</v>
      </c>
      <c r="CN124" s="51" t="s">
        <v>375</v>
      </c>
      <c r="CO124" s="56" t="s">
        <v>3551</v>
      </c>
      <c r="CP124" s="51" t="s">
        <v>214</v>
      </c>
      <c r="CQ124" s="51">
        <v>3</v>
      </c>
    </row>
    <row r="125" spans="1:95" ht="16.5" customHeight="1">
      <c r="A125" s="19">
        <v>124</v>
      </c>
      <c r="B125" s="19" t="str">
        <f>IF(法术书!AH26="","",法术书!AH26)</f>
        <v/>
      </c>
      <c r="C125" s="19" t="str">
        <f>IFERROR(VLOOKUP(B125,法术大全!$A:$W,5,FALSE),"")</f>
        <v/>
      </c>
      <c r="D125" s="284" t="str">
        <f>IFERROR(VLOOKUP(B125,法术大全!$A:$W,4,FALSE),"")</f>
        <v/>
      </c>
      <c r="E125" s="19">
        <v>124</v>
      </c>
      <c r="F125" s="285" t="str">
        <f t="shared" si="3"/>
        <v/>
      </c>
      <c r="G125" s="19"/>
      <c r="H125" s="19"/>
      <c r="I125" s="19"/>
      <c r="J125" s="19"/>
      <c r="K125" s="19"/>
      <c r="L125" s="19"/>
      <c r="CM125" s="57" t="s">
        <v>3570</v>
      </c>
      <c r="CN125" s="51" t="s">
        <v>376</v>
      </c>
      <c r="CO125"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5" s="51" t="s">
        <v>291</v>
      </c>
      <c r="CQ125" s="51">
        <v>6</v>
      </c>
    </row>
    <row r="126" spans="1:95" ht="16.5" customHeight="1">
      <c r="A126" s="19">
        <v>125</v>
      </c>
      <c r="B126" s="19" t="str">
        <f>IF(法术书!AH27="","",法术书!AH27)</f>
        <v/>
      </c>
      <c r="C126" s="19" t="str">
        <f>IFERROR(VLOOKUP(B126,法术大全!$A:$W,5,FALSE),"")</f>
        <v/>
      </c>
      <c r="D126" s="284" t="str">
        <f>IFERROR(VLOOKUP(B126,法术大全!$A:$W,4,FALSE),"")</f>
        <v/>
      </c>
      <c r="E126" s="19">
        <v>125</v>
      </c>
      <c r="F126" s="285" t="str">
        <f t="shared" si="3"/>
        <v/>
      </c>
      <c r="G126" s="19"/>
      <c r="H126" s="19"/>
      <c r="I126" s="19"/>
      <c r="J126" s="19"/>
      <c r="K126" s="19"/>
      <c r="L126" s="19"/>
      <c r="CN126" s="51" t="s">
        <v>377</v>
      </c>
      <c r="CO126"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6" s="51" t="s">
        <v>3552</v>
      </c>
      <c r="CQ126" s="51">
        <v>3</v>
      </c>
    </row>
    <row r="127" spans="1:95" ht="16.5" customHeight="1">
      <c r="A127" s="19">
        <v>126</v>
      </c>
      <c r="B127" s="19" t="str">
        <f>IF(法术书!AH28="","",法术书!AH28)</f>
        <v/>
      </c>
      <c r="C127" s="19" t="str">
        <f>IFERROR(VLOOKUP(B127,法术大全!$A:$W,5,FALSE),"")</f>
        <v/>
      </c>
      <c r="D127" s="284" t="str">
        <f>IFERROR(VLOOKUP(B127,法术大全!$A:$W,4,FALSE),"")</f>
        <v/>
      </c>
      <c r="E127" s="19">
        <v>126</v>
      </c>
      <c r="F127" s="285" t="str">
        <f t="shared" si="3"/>
        <v/>
      </c>
      <c r="G127" s="19"/>
      <c r="H127" s="19"/>
      <c r="I127" s="19"/>
      <c r="J127" s="19"/>
      <c r="K127" s="19"/>
      <c r="L127" s="19"/>
      <c r="CN127" s="51" t="s">
        <v>378</v>
      </c>
      <c r="CO127"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7" s="51" t="s">
        <v>253</v>
      </c>
      <c r="CQ127" s="51">
        <v>10</v>
      </c>
    </row>
    <row r="128" spans="1:95" ht="16.5" customHeight="1">
      <c r="A128" s="19">
        <v>127</v>
      </c>
      <c r="B128" s="19" t="str">
        <f>IF(法术书!AH29="","",法术书!AH29)</f>
        <v/>
      </c>
      <c r="C128" s="19" t="str">
        <f>IFERROR(VLOOKUP(B128,法术大全!$A:$W,5,FALSE),"")</f>
        <v/>
      </c>
      <c r="D128" s="284" t="str">
        <f>IFERROR(VLOOKUP(B128,法术大全!$A:$W,4,FALSE),"")</f>
        <v/>
      </c>
      <c r="E128" s="19">
        <v>127</v>
      </c>
      <c r="F128" s="285" t="str">
        <f t="shared" si="3"/>
        <v/>
      </c>
      <c r="G128" s="19"/>
      <c r="H128" s="19"/>
      <c r="I128" s="19"/>
      <c r="J128" s="19"/>
      <c r="K128" s="19"/>
      <c r="L128" s="19"/>
      <c r="CN128" s="51" t="s">
        <v>379</v>
      </c>
      <c r="CO128"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8" s="51" t="s">
        <v>202</v>
      </c>
      <c r="CQ128" s="51">
        <v>1</v>
      </c>
    </row>
    <row r="129" spans="1:95" ht="16.5" customHeight="1">
      <c r="A129" s="19">
        <v>128</v>
      </c>
      <c r="B129" s="19" t="str">
        <f>IF(法术书!AH30="","",法术书!AH30)</f>
        <v/>
      </c>
      <c r="C129" s="19" t="str">
        <f>IFERROR(VLOOKUP(B129,法术大全!$A:$W,5,FALSE),"")</f>
        <v/>
      </c>
      <c r="D129" s="284" t="str">
        <f>IFERROR(VLOOKUP(B129,法术大全!$A:$W,4,FALSE),"")</f>
        <v/>
      </c>
      <c r="E129" s="19">
        <v>128</v>
      </c>
      <c r="F129" s="285" t="str">
        <f t="shared" si="3"/>
        <v/>
      </c>
      <c r="G129" s="19"/>
      <c r="H129" s="19"/>
      <c r="I129" s="19"/>
      <c r="J129" s="19"/>
      <c r="K129" s="19"/>
      <c r="L129" s="19"/>
      <c r="CN129" s="51" t="s">
        <v>380</v>
      </c>
      <c r="CO129"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9" s="51" t="s">
        <v>3553</v>
      </c>
      <c r="CQ129" s="51">
        <v>2</v>
      </c>
    </row>
    <row r="130" spans="1:95" ht="16.5" customHeight="1">
      <c r="A130" s="19">
        <v>129</v>
      </c>
      <c r="B130" s="19" t="str">
        <f>IF(法术书!AH31="","",法术书!AH31)</f>
        <v/>
      </c>
      <c r="C130" s="19" t="str">
        <f>IFERROR(VLOOKUP(B130,法术大全!$A:$W,5,FALSE),"")</f>
        <v/>
      </c>
      <c r="D130" s="284" t="str">
        <f>IFERROR(VLOOKUP(B130,法术大全!$A:$W,4,FALSE),"")</f>
        <v/>
      </c>
      <c r="E130" s="19">
        <v>129</v>
      </c>
      <c r="F130" s="285" t="str">
        <f t="shared" si="3"/>
        <v/>
      </c>
      <c r="G130" s="19"/>
      <c r="H130" s="19"/>
      <c r="I130" s="19"/>
      <c r="J130" s="19"/>
      <c r="K130" s="19"/>
      <c r="L130" s="19"/>
      <c r="CN130" s="51" t="s">
        <v>381</v>
      </c>
      <c r="CO130"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0" s="51" t="s">
        <v>291</v>
      </c>
      <c r="CQ130" s="51">
        <v>2</v>
      </c>
    </row>
    <row r="131" spans="1:95" ht="16.5" customHeight="1">
      <c r="A131" s="19">
        <v>130</v>
      </c>
      <c r="B131" s="19" t="str">
        <f>IF(法术书!AH32="","",法术书!AH32)</f>
        <v/>
      </c>
      <c r="C131" s="19" t="str">
        <f>IFERROR(VLOOKUP(B131,法术大全!$A:$W,5,FALSE),"")</f>
        <v/>
      </c>
      <c r="D131" s="284" t="str">
        <f>IFERROR(VLOOKUP(B131,法术大全!$A:$W,4,FALSE),"")</f>
        <v/>
      </c>
      <c r="E131" s="19">
        <v>130</v>
      </c>
      <c r="F131" s="285" t="str">
        <f t="shared" si="3"/>
        <v/>
      </c>
      <c r="G131" s="19"/>
      <c r="H131" s="19"/>
      <c r="I131" s="19"/>
      <c r="J131" s="19"/>
      <c r="K131" s="19"/>
      <c r="L131" s="19"/>
      <c r="CN131" s="51" t="s">
        <v>382</v>
      </c>
      <c r="CO131"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1" s="51" t="s">
        <v>3554</v>
      </c>
      <c r="CQ131" s="51">
        <v>2</v>
      </c>
    </row>
    <row r="132" spans="1:95" ht="16.5" customHeight="1">
      <c r="A132" s="19">
        <v>131</v>
      </c>
      <c r="B132" s="19" t="str">
        <f>IF(法术书!AH33="","",法术书!AH33)</f>
        <v/>
      </c>
      <c r="C132" s="19" t="str">
        <f>IFERROR(VLOOKUP(B132,法术大全!$A:$W,5,FALSE),"")</f>
        <v/>
      </c>
      <c r="D132" s="284" t="str">
        <f>IFERROR(VLOOKUP(B132,法术大全!$A:$W,4,FALSE),"")</f>
        <v/>
      </c>
      <c r="E132" s="19">
        <v>131</v>
      </c>
      <c r="F132" s="285" t="str">
        <f t="shared" si="3"/>
        <v/>
      </c>
      <c r="G132" s="19"/>
      <c r="H132" s="19"/>
      <c r="I132" s="19"/>
      <c r="J132" s="19"/>
      <c r="K132" s="19"/>
      <c r="L132" s="19"/>
      <c r="CN132" s="51" t="s">
        <v>383</v>
      </c>
      <c r="CO132"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2" s="51" t="s">
        <v>3555</v>
      </c>
      <c r="CQ132" s="51">
        <v>2</v>
      </c>
    </row>
    <row r="133" spans="1:95" ht="16.5" customHeight="1">
      <c r="A133" s="19">
        <v>132</v>
      </c>
      <c r="B133" s="19" t="str">
        <f>IF(法术书!AH34="","",法术书!AH34)</f>
        <v/>
      </c>
      <c r="C133" s="19" t="str">
        <f>IFERROR(VLOOKUP(B133,法术大全!$A:$W,5,FALSE),"")</f>
        <v/>
      </c>
      <c r="D133" s="284" t="str">
        <f>IFERROR(VLOOKUP(B133,法术大全!$A:$W,4,FALSE),"")</f>
        <v/>
      </c>
      <c r="E133" s="19">
        <v>132</v>
      </c>
      <c r="F133" s="285" t="str">
        <f t="shared" si="3"/>
        <v/>
      </c>
      <c r="G133" s="19"/>
      <c r="H133" s="19"/>
      <c r="I133" s="19"/>
      <c r="J133" s="19"/>
      <c r="K133" s="19"/>
      <c r="L133" s="19"/>
      <c r="CN133" s="51" t="s">
        <v>384</v>
      </c>
      <c r="CO133"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3" s="51" t="s">
        <v>202</v>
      </c>
      <c r="CQ133" s="51">
        <v>1</v>
      </c>
    </row>
    <row r="134" spans="1:95" ht="16.5" customHeight="1">
      <c r="A134" s="19">
        <v>133</v>
      </c>
      <c r="B134" s="19" t="str">
        <f>IF(法术书!AH35="","",法术书!AH35)</f>
        <v/>
      </c>
      <c r="C134" s="19" t="str">
        <f>IFERROR(VLOOKUP(B134,法术大全!$A:$W,5,FALSE),"")</f>
        <v/>
      </c>
      <c r="D134" s="284" t="str">
        <f>IFERROR(VLOOKUP(B134,法术大全!$A:$W,4,FALSE),"")</f>
        <v/>
      </c>
      <c r="E134" s="19">
        <v>133</v>
      </c>
      <c r="F134" s="285" t="str">
        <f t="shared" ref="F134:F155" si="4">B134</f>
        <v/>
      </c>
      <c r="G134" s="19"/>
      <c r="H134" s="19"/>
      <c r="I134" s="19"/>
      <c r="J134" s="19"/>
      <c r="K134" s="19"/>
      <c r="L134" s="19"/>
      <c r="CN134" s="51" t="s">
        <v>385</v>
      </c>
      <c r="CO134" s="56"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4" s="51" t="s">
        <v>291</v>
      </c>
      <c r="CQ134" s="51">
        <v>1</v>
      </c>
    </row>
    <row r="135" spans="1:95" ht="16.5" customHeight="1">
      <c r="A135" s="19">
        <v>134</v>
      </c>
      <c r="B135" s="19" t="str">
        <f>IF(法术书!AH36="","",法术书!AH36)</f>
        <v/>
      </c>
      <c r="C135" s="19" t="str">
        <f>IFERROR(VLOOKUP(B135,法术大全!$A:$W,5,FALSE),"")</f>
        <v/>
      </c>
      <c r="D135" s="284" t="str">
        <f>IFERROR(VLOOKUP(B135,法术大全!$A:$W,4,FALSE),"")</f>
        <v/>
      </c>
      <c r="E135" s="19">
        <v>134</v>
      </c>
      <c r="F135" s="285" t="str">
        <f t="shared" si="4"/>
        <v/>
      </c>
      <c r="G135" s="19"/>
      <c r="H135" s="19"/>
      <c r="I135" s="19"/>
      <c r="J135" s="19"/>
      <c r="K135" s="19"/>
      <c r="L135" s="19"/>
      <c r="CN135" s="51" t="s">
        <v>386</v>
      </c>
      <c r="CO135" s="56" t="s">
        <v>3556</v>
      </c>
      <c r="CP135" s="51" t="s">
        <v>253</v>
      </c>
      <c r="CQ135" s="51">
        <v>2</v>
      </c>
    </row>
    <row r="136" spans="1:95" ht="16.5" customHeight="1">
      <c r="A136" s="19">
        <v>135</v>
      </c>
      <c r="B136" s="19" t="str">
        <f>IF(法术书!AH37="","",法术书!AH37)</f>
        <v/>
      </c>
      <c r="C136" s="19" t="str">
        <f>IFERROR(VLOOKUP(B136,法术大全!$A:$W,5,FALSE),"")</f>
        <v/>
      </c>
      <c r="D136" s="284" t="str">
        <f>IFERROR(VLOOKUP(B136,法术大全!$A:$W,4,FALSE),"")</f>
        <v/>
      </c>
      <c r="E136" s="19">
        <v>135</v>
      </c>
      <c r="F136" s="285" t="str">
        <f t="shared" si="4"/>
        <v/>
      </c>
      <c r="G136" s="19"/>
      <c r="H136" s="19"/>
      <c r="I136" s="19"/>
      <c r="J136" s="19"/>
      <c r="K136" s="19"/>
      <c r="L136" s="19"/>
      <c r="CN136" s="51" t="s">
        <v>387</v>
      </c>
      <c r="CO136" s="56" t="s">
        <v>3557</v>
      </c>
      <c r="CP136" s="51" t="s">
        <v>293</v>
      </c>
      <c r="CQ136" s="51">
        <v>2</v>
      </c>
    </row>
    <row r="137" spans="1:95" ht="16.5" customHeight="1">
      <c r="A137" s="19">
        <v>136</v>
      </c>
      <c r="B137" s="19" t="str">
        <f>IF(法术书!AH38="","",法术书!AH38)</f>
        <v/>
      </c>
      <c r="C137" s="19" t="str">
        <f>IFERROR(VLOOKUP(B137,法术大全!$A:$W,5,FALSE),"")</f>
        <v/>
      </c>
      <c r="D137" s="284" t="str">
        <f>IFERROR(VLOOKUP(B137,法术大全!$A:$W,4,FALSE),"")</f>
        <v/>
      </c>
      <c r="E137" s="19">
        <v>136</v>
      </c>
      <c r="F137" s="285" t="str">
        <f t="shared" si="4"/>
        <v/>
      </c>
      <c r="G137" s="19"/>
      <c r="H137" s="19"/>
      <c r="I137" s="19"/>
      <c r="J137" s="19"/>
      <c r="K137" s="19"/>
      <c r="L137" s="19"/>
      <c r="CN137" s="51" t="s">
        <v>388</v>
      </c>
      <c r="CO137" s="56" t="s">
        <v>3558</v>
      </c>
      <c r="CP137" s="51" t="s">
        <v>253</v>
      </c>
      <c r="CQ137" s="51">
        <v>1</v>
      </c>
    </row>
    <row r="138" spans="1:95" ht="16.5" customHeight="1">
      <c r="A138" s="19">
        <v>137</v>
      </c>
      <c r="B138" s="19" t="str">
        <f>IF(法术书!AH39="","",法术书!AH39)</f>
        <v/>
      </c>
      <c r="C138" s="19" t="str">
        <f>IFERROR(VLOOKUP(B138,法术大全!$A:$W,5,FALSE),"")</f>
        <v/>
      </c>
      <c r="D138" s="284" t="str">
        <f>IFERROR(VLOOKUP(B138,法术大全!$A:$W,4,FALSE),"")</f>
        <v/>
      </c>
      <c r="E138" s="19">
        <v>137</v>
      </c>
      <c r="F138" s="285" t="str">
        <f t="shared" si="4"/>
        <v/>
      </c>
      <c r="G138" s="19"/>
      <c r="H138" s="19"/>
      <c r="I138" s="19"/>
      <c r="J138" s="19"/>
      <c r="K138" s="19"/>
      <c r="L138" s="19"/>
      <c r="CN138" s="53" t="s">
        <v>4720</v>
      </c>
      <c r="CO138" s="56" t="s">
        <v>4719</v>
      </c>
      <c r="CP138" s="53" t="s">
        <v>4719</v>
      </c>
      <c r="CQ138" s="53" t="s">
        <v>4719</v>
      </c>
    </row>
    <row r="139" spans="1:95" ht="16.5" customHeight="1">
      <c r="A139" s="19">
        <v>138</v>
      </c>
      <c r="B139" s="19" t="str">
        <f>IF(法术书!AH40="","",法术书!AH40)</f>
        <v/>
      </c>
      <c r="C139" s="19" t="str">
        <f>IFERROR(VLOOKUP(B139,法术大全!$A:$W,5,FALSE),"")</f>
        <v/>
      </c>
      <c r="D139" s="284" t="str">
        <f>IFERROR(VLOOKUP(B139,法术大全!$A:$W,4,FALSE),"")</f>
        <v/>
      </c>
      <c r="E139" s="19">
        <v>138</v>
      </c>
      <c r="F139" s="285" t="str">
        <f t="shared" si="4"/>
        <v/>
      </c>
      <c r="G139" s="19"/>
      <c r="H139" s="19"/>
      <c r="I139" s="19"/>
      <c r="J139" s="19"/>
      <c r="K139" s="19"/>
      <c r="L139" s="19"/>
      <c r="CN139" s="53" t="s">
        <v>4721</v>
      </c>
      <c r="CO139" s="56" t="s">
        <v>4719</v>
      </c>
      <c r="CP139" s="53" t="s">
        <v>4719</v>
      </c>
      <c r="CQ139" s="53" t="s">
        <v>4719</v>
      </c>
    </row>
    <row r="140" spans="1:95" ht="16.5" customHeight="1">
      <c r="A140" s="19">
        <v>139</v>
      </c>
      <c r="B140" s="19" t="str">
        <f>IF(法术书!AH41="","",法术书!AH41)</f>
        <v/>
      </c>
      <c r="C140" s="19" t="str">
        <f>IFERROR(VLOOKUP(B140,法术大全!$A:$W,5,FALSE),"")</f>
        <v/>
      </c>
      <c r="D140" s="284" t="str">
        <f>IFERROR(VLOOKUP(B140,法术大全!$A:$W,4,FALSE),"")</f>
        <v/>
      </c>
      <c r="E140" s="19">
        <v>139</v>
      </c>
      <c r="F140" s="285" t="str">
        <f t="shared" si="4"/>
        <v/>
      </c>
      <c r="G140" s="19"/>
      <c r="H140" s="19"/>
      <c r="I140" s="19"/>
      <c r="J140" s="19"/>
      <c r="K140" s="19"/>
      <c r="L140" s="19"/>
      <c r="CN140" s="53" t="s">
        <v>5818</v>
      </c>
      <c r="CO140" s="55" t="s">
        <v>3559</v>
      </c>
      <c r="CP140" s="51" t="s">
        <v>3560</v>
      </c>
      <c r="CQ140" s="51">
        <v>47.5</v>
      </c>
    </row>
    <row r="141" spans="1:95" ht="16.5" customHeight="1">
      <c r="A141" s="19">
        <v>140</v>
      </c>
      <c r="B141" s="19" t="str">
        <f>IF(法术书!AH42="","",法术书!AH42)</f>
        <v/>
      </c>
      <c r="C141" s="19" t="str">
        <f>IFERROR(VLOOKUP(B141,法术大全!$A:$W,5,FALSE),"")</f>
        <v/>
      </c>
      <c r="D141" s="284" t="str">
        <f>IFERROR(VLOOKUP(B141,法术大全!$A:$W,4,FALSE),"")</f>
        <v/>
      </c>
      <c r="E141" s="19">
        <v>140</v>
      </c>
      <c r="F141" s="285" t="str">
        <f t="shared" si="4"/>
        <v/>
      </c>
      <c r="G141" s="19"/>
      <c r="H141" s="19"/>
      <c r="I141" s="19"/>
      <c r="J141" s="19"/>
      <c r="K141" s="19"/>
      <c r="L141" s="19"/>
      <c r="CN141" s="53" t="s">
        <v>5819</v>
      </c>
      <c r="CO141" s="55" t="s">
        <v>389</v>
      </c>
      <c r="CP141" s="51" t="s">
        <v>3561</v>
      </c>
      <c r="CQ141" s="51">
        <v>46</v>
      </c>
    </row>
    <row r="142" spans="1:95" ht="16.5" customHeight="1">
      <c r="A142" s="19">
        <v>141</v>
      </c>
      <c r="B142" s="19" t="str">
        <f>IF(法术书!AH43="","",法术书!AH43)</f>
        <v/>
      </c>
      <c r="C142" s="19" t="str">
        <f>IFERROR(VLOOKUP(B142,法术大全!$A:$W,5,FALSE),"")</f>
        <v/>
      </c>
      <c r="D142" s="284" t="str">
        <f>IFERROR(VLOOKUP(B142,法术大全!$A:$W,4,FALSE),"")</f>
        <v/>
      </c>
      <c r="E142" s="19">
        <v>141</v>
      </c>
      <c r="F142" s="285" t="str">
        <f t="shared" si="4"/>
        <v/>
      </c>
      <c r="G142" s="19"/>
      <c r="H142" s="19"/>
      <c r="I142" s="19"/>
      <c r="J142" s="19"/>
      <c r="K142" s="19"/>
      <c r="L142" s="19"/>
      <c r="CN142" s="53" t="s">
        <v>5820</v>
      </c>
      <c r="CO142" s="55" t="s">
        <v>3562</v>
      </c>
      <c r="CP142" s="51" t="s">
        <v>3560</v>
      </c>
      <c r="CQ142" s="51">
        <v>61.5</v>
      </c>
    </row>
    <row r="143" spans="1:95" ht="16.5" customHeight="1">
      <c r="A143" s="19">
        <v>142</v>
      </c>
      <c r="B143" s="19" t="str">
        <f>IF(法术书!AH44="","",法术书!AH44)</f>
        <v/>
      </c>
      <c r="C143" s="19" t="str">
        <f>IFERROR(VLOOKUP(B143,法术大全!$A:$W,5,FALSE),"")</f>
        <v/>
      </c>
      <c r="D143" s="284" t="str">
        <f>IFERROR(VLOOKUP(B143,法术大全!$A:$W,4,FALSE),"")</f>
        <v/>
      </c>
      <c r="E143" s="19">
        <v>142</v>
      </c>
      <c r="F143" s="285" t="str">
        <f t="shared" si="4"/>
        <v/>
      </c>
      <c r="G143" s="19"/>
      <c r="H143" s="19"/>
      <c r="I143" s="19"/>
      <c r="J143" s="19"/>
      <c r="K143" s="19"/>
      <c r="L143" s="19"/>
      <c r="CN143" s="53" t="s">
        <v>5821</v>
      </c>
      <c r="CO143" s="55" t="s">
        <v>390</v>
      </c>
      <c r="CP143" s="51" t="s">
        <v>3563</v>
      </c>
      <c r="CQ143" s="51">
        <v>38</v>
      </c>
    </row>
    <row r="144" spans="1:95" ht="16.5" customHeight="1">
      <c r="A144" s="19">
        <v>143</v>
      </c>
      <c r="B144" s="19" t="str">
        <f>IF(法术书!AH45="","",法术书!AH45)</f>
        <v/>
      </c>
      <c r="C144" s="19" t="str">
        <f>IFERROR(VLOOKUP(B144,法术大全!$A:$W,5,FALSE),"")</f>
        <v/>
      </c>
      <c r="D144" s="284" t="str">
        <f>IFERROR(VLOOKUP(B144,法术大全!$A:$W,4,FALSE),"")</f>
        <v/>
      </c>
      <c r="E144" s="19">
        <v>143</v>
      </c>
      <c r="F144" s="285" t="str">
        <f t="shared" si="4"/>
        <v/>
      </c>
      <c r="G144" s="19"/>
      <c r="H144" s="19"/>
      <c r="I144" s="19"/>
      <c r="J144" s="19"/>
      <c r="K144" s="19"/>
      <c r="L144" s="19"/>
      <c r="CN144" s="53" t="s">
        <v>5822</v>
      </c>
      <c r="CO144" s="55" t="s">
        <v>3564</v>
      </c>
      <c r="CP144" s="51" t="s">
        <v>3561</v>
      </c>
      <c r="CQ144" s="51">
        <v>59</v>
      </c>
    </row>
    <row r="145" spans="1:95" ht="16.5" customHeight="1">
      <c r="A145" s="19">
        <v>144</v>
      </c>
      <c r="B145" s="19" t="str">
        <f>IF(法术书!AH46="","",法术书!AH46)</f>
        <v/>
      </c>
      <c r="C145" s="19" t="str">
        <f>IFERROR(VLOOKUP(B145,法术大全!$A:$W,5,FALSE),"")</f>
        <v/>
      </c>
      <c r="D145" s="284" t="str">
        <f>IFERROR(VLOOKUP(B145,法术大全!$A:$W,4,FALSE),"")</f>
        <v/>
      </c>
      <c r="E145" s="19">
        <v>144</v>
      </c>
      <c r="F145" s="285" t="str">
        <f t="shared" si="4"/>
        <v/>
      </c>
      <c r="G145" s="19"/>
      <c r="H145" s="19"/>
      <c r="I145" s="19"/>
      <c r="J145" s="19"/>
      <c r="K145" s="19"/>
      <c r="L145" s="19"/>
      <c r="CN145" s="53" t="s">
        <v>5823</v>
      </c>
      <c r="CO145" s="55" t="s">
        <v>391</v>
      </c>
      <c r="CP145" s="51" t="s">
        <v>3565</v>
      </c>
      <c r="CQ145" s="51">
        <v>18</v>
      </c>
    </row>
    <row r="146" spans="1:95" ht="16.5" customHeight="1">
      <c r="A146" s="19">
        <v>145</v>
      </c>
      <c r="B146" s="19" t="str">
        <f>IF(法术书!AH47="","",法术书!AH47)</f>
        <v/>
      </c>
      <c r="C146" s="19" t="str">
        <f>IFERROR(VLOOKUP(B146,法术大全!$A:$W,5,FALSE),"")</f>
        <v/>
      </c>
      <c r="D146" s="284" t="str">
        <f>IFERROR(VLOOKUP(B146,法术大全!$A:$W,4,FALSE),"")</f>
        <v/>
      </c>
      <c r="E146" s="19">
        <v>145</v>
      </c>
      <c r="F146" s="285" t="str">
        <f t="shared" si="4"/>
        <v/>
      </c>
      <c r="G146" s="19"/>
      <c r="H146" s="19"/>
      <c r="I146" s="19"/>
      <c r="J146" s="19"/>
      <c r="K146" s="19"/>
      <c r="L146" s="19"/>
      <c r="CN146" s="53" t="s">
        <v>5824</v>
      </c>
      <c r="CO146" s="55" t="s">
        <v>3566</v>
      </c>
      <c r="CP146" s="51" t="s">
        <v>3561</v>
      </c>
      <c r="CQ146" s="51">
        <v>11</v>
      </c>
    </row>
    <row r="147" spans="1:95" ht="16.5" customHeight="1">
      <c r="A147" s="19">
        <v>146</v>
      </c>
      <c r="B147" s="19" t="str">
        <f>IF(法术书!AH48="","",法术书!AH48)</f>
        <v/>
      </c>
      <c r="C147" s="19" t="str">
        <f>IFERROR(VLOOKUP(B147,法术大全!$A:$W,5,FALSE),"")</f>
        <v/>
      </c>
      <c r="D147" s="284" t="str">
        <f>IFERROR(VLOOKUP(B147,法术大全!$A:$W,4,FALSE),"")</f>
        <v/>
      </c>
      <c r="E147" s="19">
        <v>146</v>
      </c>
      <c r="F147" s="285" t="str">
        <f t="shared" si="4"/>
        <v/>
      </c>
      <c r="G147" s="19"/>
      <c r="H147" s="19"/>
      <c r="I147" s="19"/>
      <c r="J147" s="19"/>
      <c r="K147" s="19"/>
      <c r="L147" s="19"/>
      <c r="CN147" s="51">
        <v>0</v>
      </c>
      <c r="CO147" s="52" t="s">
        <v>81</v>
      </c>
      <c r="CP147" s="51">
        <v>0</v>
      </c>
      <c r="CQ147" s="51">
        <v>0</v>
      </c>
    </row>
    <row r="148" spans="1:95" ht="16.5" customHeight="1">
      <c r="A148" s="19">
        <v>147</v>
      </c>
      <c r="B148" s="19" t="str">
        <f>IF(法术书!AH49="","",法术书!AH49)</f>
        <v/>
      </c>
      <c r="C148" s="19" t="str">
        <f>IFERROR(VLOOKUP(B148,法术大全!$A:$W,5,FALSE),"")</f>
        <v/>
      </c>
      <c r="D148" s="284" t="str">
        <f>IFERROR(VLOOKUP(B148,法术大全!$A:$W,4,FALSE),"")</f>
        <v/>
      </c>
      <c r="E148" s="19">
        <v>147</v>
      </c>
      <c r="F148" s="285" t="str">
        <f t="shared" si="4"/>
        <v/>
      </c>
      <c r="G148" s="19"/>
      <c r="H148" s="19"/>
      <c r="I148" s="19"/>
      <c r="J148" s="19"/>
      <c r="K148" s="19"/>
      <c r="L148" s="19"/>
    </row>
    <row r="149" spans="1:95" ht="16.5" customHeight="1">
      <c r="A149" s="19">
        <v>148</v>
      </c>
      <c r="B149" s="19" t="str">
        <f>IF(法术书!AH50="","",法术书!AH50)</f>
        <v/>
      </c>
      <c r="C149" s="19" t="str">
        <f>IFERROR(VLOOKUP(B149,法术大全!$A:$W,5,FALSE),"")</f>
        <v/>
      </c>
      <c r="D149" s="284" t="str">
        <f>IFERROR(VLOOKUP(B149,法术大全!$A:$W,4,FALSE),"")</f>
        <v/>
      </c>
      <c r="E149" s="19">
        <v>148</v>
      </c>
      <c r="F149" s="285" t="str">
        <f t="shared" si="4"/>
        <v/>
      </c>
      <c r="G149" s="19"/>
      <c r="H149" s="19"/>
      <c r="I149" s="19"/>
      <c r="J149" s="19"/>
      <c r="K149" s="19"/>
      <c r="L149" s="19"/>
    </row>
    <row r="150" spans="1:95" ht="16.5" customHeight="1">
      <c r="A150" s="19">
        <v>149</v>
      </c>
      <c r="B150" s="19" t="str">
        <f>IF(法术书!AH51="","",法术书!AH51)</f>
        <v/>
      </c>
      <c r="C150" s="19" t="str">
        <f>IFERROR(VLOOKUP(B150,法术大全!$A:$W,5,FALSE),"")</f>
        <v/>
      </c>
      <c r="D150" s="284" t="str">
        <f>IFERROR(VLOOKUP(B150,法术大全!$A:$W,4,FALSE),"")</f>
        <v/>
      </c>
      <c r="E150" s="19">
        <v>149</v>
      </c>
      <c r="F150" s="285" t="str">
        <f t="shared" si="4"/>
        <v/>
      </c>
      <c r="G150" s="19"/>
      <c r="H150" s="19"/>
      <c r="I150" s="19"/>
      <c r="J150" s="19"/>
      <c r="K150" s="19"/>
      <c r="L150" s="19"/>
    </row>
    <row r="151" spans="1:95" ht="16.5" customHeight="1">
      <c r="A151" s="19">
        <v>150</v>
      </c>
      <c r="B151" s="19" t="str">
        <f>IF(法术书!AH52="","",法术书!AH52)</f>
        <v/>
      </c>
      <c r="C151" s="19" t="str">
        <f>IFERROR(VLOOKUP(B151,法术大全!$A:$W,5,FALSE),"")</f>
        <v/>
      </c>
      <c r="D151" s="284" t="str">
        <f>IFERROR(VLOOKUP(B151,法术大全!$A:$W,4,FALSE),"")</f>
        <v/>
      </c>
      <c r="E151" s="19">
        <v>150</v>
      </c>
      <c r="F151" s="285" t="str">
        <f t="shared" si="4"/>
        <v/>
      </c>
      <c r="G151" s="19"/>
      <c r="H151" s="19"/>
      <c r="I151" s="19"/>
      <c r="J151" s="19"/>
      <c r="K151" s="19"/>
      <c r="L151" s="19"/>
    </row>
    <row r="152" spans="1:95" ht="16.5" customHeight="1">
      <c r="A152" s="19">
        <v>151</v>
      </c>
      <c r="B152" s="19" t="str">
        <f>IF(法术书!AM3="","",法术书!AM3)</f>
        <v/>
      </c>
      <c r="C152" s="19" t="str">
        <f>IFERROR(VLOOKUP(B152,法术大全!$A:$W,5,FALSE),"")</f>
        <v/>
      </c>
      <c r="D152" s="284" t="str">
        <f>IFERROR(VLOOKUP(B152,法术大全!$A:$W,4,FALSE),"")</f>
        <v/>
      </c>
      <c r="E152" s="19">
        <v>151</v>
      </c>
      <c r="F152" s="285" t="str">
        <f t="shared" si="4"/>
        <v/>
      </c>
      <c r="G152" s="19"/>
      <c r="H152" s="19"/>
      <c r="I152" s="19"/>
      <c r="J152" s="19"/>
      <c r="K152" s="19"/>
      <c r="L152" s="19"/>
    </row>
    <row r="153" spans="1:95" ht="16.5" customHeight="1">
      <c r="A153" s="19">
        <v>152</v>
      </c>
      <c r="B153" s="19" t="str">
        <f>IF(法术书!AM4="","",法术书!AM4)</f>
        <v/>
      </c>
      <c r="C153" s="19" t="str">
        <f>IFERROR(VLOOKUP(B153,法术大全!$A:$W,5,FALSE),"")</f>
        <v/>
      </c>
      <c r="D153" s="284" t="str">
        <f>IFERROR(VLOOKUP(B153,法术大全!$A:$W,4,FALSE),"")</f>
        <v/>
      </c>
      <c r="E153" s="19">
        <v>152</v>
      </c>
      <c r="F153" s="285" t="str">
        <f t="shared" si="4"/>
        <v/>
      </c>
      <c r="G153" s="19"/>
      <c r="H153" s="19"/>
      <c r="I153" s="19"/>
      <c r="J153" s="19"/>
      <c r="K153" s="19"/>
      <c r="L153" s="19"/>
    </row>
    <row r="154" spans="1:95" ht="16.5" customHeight="1">
      <c r="A154" s="19">
        <v>153</v>
      </c>
      <c r="B154" s="19" t="str">
        <f>IF(法术书!AM5="","",法术书!AM5)</f>
        <v/>
      </c>
      <c r="C154" s="19" t="str">
        <f>IFERROR(VLOOKUP(B154,法术大全!$A:$W,5,FALSE),"")</f>
        <v/>
      </c>
      <c r="D154" s="284" t="str">
        <f>IFERROR(VLOOKUP(B154,法术大全!$A:$W,4,FALSE),"")</f>
        <v/>
      </c>
      <c r="E154" s="19">
        <v>153</v>
      </c>
      <c r="F154" s="285" t="str">
        <f t="shared" si="4"/>
        <v/>
      </c>
      <c r="G154" s="19"/>
      <c r="H154" s="19"/>
      <c r="I154" s="19"/>
      <c r="J154" s="19"/>
      <c r="K154" s="19"/>
      <c r="L154" s="19"/>
    </row>
    <row r="155" spans="1:95" ht="16.5" customHeight="1">
      <c r="A155" s="19">
        <v>154</v>
      </c>
      <c r="B155" s="19" t="str">
        <f>IF(法术书!AM6="","",法术书!AM6)</f>
        <v/>
      </c>
      <c r="C155" s="19" t="str">
        <f>IFERROR(VLOOKUP(B155,法术大全!$A:$W,5,FALSE),"")</f>
        <v/>
      </c>
      <c r="D155" s="284" t="str">
        <f>IFERROR(VLOOKUP(B155,法术大全!$A:$W,4,FALSE),"")</f>
        <v/>
      </c>
      <c r="E155" s="19">
        <v>154</v>
      </c>
      <c r="F155" s="285" t="str">
        <f t="shared" si="4"/>
        <v/>
      </c>
      <c r="G155" s="19"/>
      <c r="H155" s="19"/>
      <c r="I155" s="19"/>
      <c r="J155" s="19"/>
      <c r="K155" s="19"/>
      <c r="L155" s="19"/>
    </row>
    <row r="156" spans="1:95" ht="16.5" customHeight="1">
      <c r="A156" s="19">
        <v>155</v>
      </c>
      <c r="B156" s="19" t="str">
        <f>IF(法术书!AM7="","",法术书!AM7)</f>
        <v/>
      </c>
      <c r="C156" s="19" t="str">
        <f>IFERROR(VLOOKUP(B156,法术大全!$A:$W,5,FALSE),"")</f>
        <v/>
      </c>
      <c r="D156" s="284" t="str">
        <f>IFERROR(VLOOKUP(B156,法术大全!$A:$W,4,FALSE),"")</f>
        <v/>
      </c>
      <c r="E156" s="19">
        <v>155</v>
      </c>
      <c r="F156" s="285" t="str">
        <f t="shared" ref="F156:F201" si="5">B156</f>
        <v/>
      </c>
      <c r="G156" s="19"/>
      <c r="H156" s="19"/>
      <c r="I156" s="19"/>
      <c r="J156" s="19"/>
      <c r="K156" s="19"/>
      <c r="L156" s="19"/>
    </row>
    <row r="157" spans="1:95" ht="16.5" customHeight="1">
      <c r="A157" s="19">
        <v>156</v>
      </c>
      <c r="B157" s="19" t="str">
        <f>IF(法术书!AM8="","",法术书!AM8)</f>
        <v/>
      </c>
      <c r="C157" s="19" t="str">
        <f>IFERROR(VLOOKUP(B157,法术大全!$A:$W,5,FALSE),"")</f>
        <v/>
      </c>
      <c r="D157" s="284" t="str">
        <f>IFERROR(VLOOKUP(B157,法术大全!$A:$W,4,FALSE),"")</f>
        <v/>
      </c>
      <c r="E157" s="19">
        <v>156</v>
      </c>
      <c r="F157" s="285" t="str">
        <f t="shared" si="5"/>
        <v/>
      </c>
      <c r="G157" s="19"/>
      <c r="H157" s="19"/>
      <c r="I157" s="19"/>
      <c r="J157" s="19"/>
      <c r="K157" s="19"/>
      <c r="L157" s="19"/>
    </row>
    <row r="158" spans="1:95" ht="16.5" customHeight="1">
      <c r="A158" s="19">
        <v>157</v>
      </c>
      <c r="B158" s="19" t="str">
        <f>IF(法术书!AM9="","",法术书!AM9)</f>
        <v/>
      </c>
      <c r="C158" s="19" t="str">
        <f>IFERROR(VLOOKUP(B158,法术大全!$A:$W,5,FALSE),"")</f>
        <v/>
      </c>
      <c r="D158" s="284" t="str">
        <f>IFERROR(VLOOKUP(B158,法术大全!$A:$W,4,FALSE),"")</f>
        <v/>
      </c>
      <c r="E158" s="19">
        <v>157</v>
      </c>
      <c r="F158" s="285" t="str">
        <f t="shared" si="5"/>
        <v/>
      </c>
      <c r="G158" s="19"/>
      <c r="H158" s="19"/>
      <c r="I158" s="19"/>
      <c r="J158" s="19"/>
      <c r="K158" s="19"/>
      <c r="L158" s="19"/>
    </row>
    <row r="159" spans="1:95" ht="16.5" customHeight="1">
      <c r="A159" s="19">
        <v>158</v>
      </c>
      <c r="B159" s="19" t="str">
        <f>IF(法术书!AM10="","",法术书!AM10)</f>
        <v/>
      </c>
      <c r="C159" s="19" t="str">
        <f>IFERROR(VLOOKUP(B159,法术大全!$A:$W,5,FALSE),"")</f>
        <v/>
      </c>
      <c r="D159" s="284" t="str">
        <f>IFERROR(VLOOKUP(B159,法术大全!$A:$W,4,FALSE),"")</f>
        <v/>
      </c>
      <c r="E159" s="19">
        <v>158</v>
      </c>
      <c r="F159" s="285" t="str">
        <f t="shared" si="5"/>
        <v/>
      </c>
      <c r="G159" s="19"/>
      <c r="H159" s="19"/>
      <c r="I159" s="19"/>
      <c r="J159" s="19"/>
      <c r="K159" s="19"/>
      <c r="L159" s="19"/>
    </row>
    <row r="160" spans="1:95" ht="16.5" customHeight="1">
      <c r="A160" s="19">
        <v>159</v>
      </c>
      <c r="B160" s="19" t="str">
        <f>IF(法术书!AM11="","",法术书!AM11)</f>
        <v/>
      </c>
      <c r="C160" s="19" t="str">
        <f>IFERROR(VLOOKUP(B160,法术大全!$A:$W,5,FALSE),"")</f>
        <v/>
      </c>
      <c r="D160" s="284" t="str">
        <f>IFERROR(VLOOKUP(B160,法术大全!$A:$W,4,FALSE),"")</f>
        <v/>
      </c>
      <c r="E160" s="19">
        <v>159</v>
      </c>
      <c r="F160" s="285" t="str">
        <f t="shared" si="5"/>
        <v/>
      </c>
      <c r="G160" s="19"/>
      <c r="H160" s="19"/>
      <c r="I160" s="19"/>
      <c r="J160" s="19"/>
      <c r="K160" s="19"/>
      <c r="L160" s="19"/>
    </row>
    <row r="161" spans="1:12" ht="16.5" customHeight="1">
      <c r="A161" s="19">
        <v>160</v>
      </c>
      <c r="B161" s="19" t="str">
        <f>IF(法术书!AM12="","",法术书!AM12)</f>
        <v/>
      </c>
      <c r="C161" s="19" t="str">
        <f>IFERROR(VLOOKUP(B161,法术大全!$A:$W,5,FALSE),"")</f>
        <v/>
      </c>
      <c r="D161" s="284" t="str">
        <f>IFERROR(VLOOKUP(B161,法术大全!$A:$W,4,FALSE),"")</f>
        <v/>
      </c>
      <c r="E161" s="19">
        <v>160</v>
      </c>
      <c r="F161" s="285" t="str">
        <f t="shared" si="5"/>
        <v/>
      </c>
      <c r="G161" s="19"/>
      <c r="H161" s="19"/>
      <c r="I161" s="19"/>
      <c r="J161" s="19"/>
      <c r="K161" s="19"/>
      <c r="L161" s="19"/>
    </row>
    <row r="162" spans="1:12" ht="16.5" customHeight="1">
      <c r="A162" s="19">
        <v>161</v>
      </c>
      <c r="B162" s="19" t="str">
        <f>IF(法术书!AM13="","",法术书!AM13)</f>
        <v/>
      </c>
      <c r="C162" s="19" t="str">
        <f>IFERROR(VLOOKUP(B162,法术大全!$A:$W,5,FALSE),"")</f>
        <v/>
      </c>
      <c r="D162" s="284" t="str">
        <f>IFERROR(VLOOKUP(B162,法术大全!$A:$W,4,FALSE),"")</f>
        <v/>
      </c>
      <c r="E162" s="19">
        <v>161</v>
      </c>
      <c r="F162" s="285" t="str">
        <f t="shared" si="5"/>
        <v/>
      </c>
      <c r="G162" s="19"/>
      <c r="H162" s="19"/>
      <c r="I162" s="19"/>
      <c r="J162" s="19"/>
      <c r="K162" s="19"/>
      <c r="L162" s="19"/>
    </row>
    <row r="163" spans="1:12" ht="16.5" customHeight="1">
      <c r="A163" s="19">
        <v>162</v>
      </c>
      <c r="B163" s="19" t="str">
        <f>IF(法术书!AM14="","",法术书!AM14)</f>
        <v/>
      </c>
      <c r="C163" s="19" t="str">
        <f>IFERROR(VLOOKUP(B163,法术大全!$A:$W,5,FALSE),"")</f>
        <v/>
      </c>
      <c r="D163" s="284" t="str">
        <f>IFERROR(VLOOKUP(B163,法术大全!$A:$W,4,FALSE),"")</f>
        <v/>
      </c>
      <c r="E163" s="19">
        <v>162</v>
      </c>
      <c r="F163" s="285" t="str">
        <f t="shared" si="5"/>
        <v/>
      </c>
      <c r="G163" s="19"/>
      <c r="H163" s="19"/>
      <c r="I163" s="19"/>
      <c r="J163" s="19"/>
      <c r="K163" s="19"/>
      <c r="L163" s="19"/>
    </row>
    <row r="164" spans="1:12" ht="16.5" customHeight="1">
      <c r="A164" s="19">
        <v>163</v>
      </c>
      <c r="B164" s="19" t="str">
        <f>IF(法术书!AM15="","",法术书!AM15)</f>
        <v/>
      </c>
      <c r="C164" s="19" t="str">
        <f>IFERROR(VLOOKUP(B164,法术大全!$A:$W,5,FALSE),"")</f>
        <v/>
      </c>
      <c r="D164" s="284" t="str">
        <f>IFERROR(VLOOKUP(B164,法术大全!$A:$W,4,FALSE),"")</f>
        <v/>
      </c>
      <c r="E164" s="19">
        <v>163</v>
      </c>
      <c r="F164" s="285" t="str">
        <f t="shared" si="5"/>
        <v/>
      </c>
      <c r="G164" s="19"/>
      <c r="H164" s="19"/>
      <c r="I164" s="19"/>
      <c r="J164" s="19"/>
      <c r="K164" s="19"/>
      <c r="L164" s="19"/>
    </row>
    <row r="165" spans="1:12" ht="16.5" customHeight="1">
      <c r="A165" s="19">
        <v>164</v>
      </c>
      <c r="B165" s="19" t="str">
        <f>IF(法术书!AM16="","",法术书!AM16)</f>
        <v/>
      </c>
      <c r="C165" s="19" t="str">
        <f>IFERROR(VLOOKUP(B165,法术大全!$A:$W,5,FALSE),"")</f>
        <v/>
      </c>
      <c r="D165" s="284" t="str">
        <f>IFERROR(VLOOKUP(B165,法术大全!$A:$W,4,FALSE),"")</f>
        <v/>
      </c>
      <c r="E165" s="19">
        <v>164</v>
      </c>
      <c r="F165" s="285" t="str">
        <f t="shared" si="5"/>
        <v/>
      </c>
      <c r="G165" s="19"/>
      <c r="H165" s="19"/>
      <c r="I165" s="19"/>
      <c r="J165" s="19"/>
      <c r="K165" s="19"/>
      <c r="L165" s="19"/>
    </row>
    <row r="166" spans="1:12" ht="16.5" customHeight="1">
      <c r="A166" s="19">
        <v>165</v>
      </c>
      <c r="B166" s="19" t="str">
        <f>IF(法术书!AM17="","",法术书!AM17)</f>
        <v/>
      </c>
      <c r="C166" s="19" t="str">
        <f>IFERROR(VLOOKUP(B166,法术大全!$A:$W,5,FALSE),"")</f>
        <v/>
      </c>
      <c r="D166" s="284" t="str">
        <f>IFERROR(VLOOKUP(B166,法术大全!$A:$W,4,FALSE),"")</f>
        <v/>
      </c>
      <c r="E166" s="19">
        <v>165</v>
      </c>
      <c r="F166" s="285" t="str">
        <f t="shared" si="5"/>
        <v/>
      </c>
      <c r="G166" s="19"/>
      <c r="H166" s="19"/>
      <c r="I166" s="19"/>
      <c r="J166" s="19"/>
      <c r="K166" s="19"/>
      <c r="L166" s="19"/>
    </row>
    <row r="167" spans="1:12" ht="16.5" customHeight="1">
      <c r="A167" s="19">
        <v>166</v>
      </c>
      <c r="B167" s="19" t="str">
        <f>IF(法术书!AM18="","",法术书!AM18)</f>
        <v/>
      </c>
      <c r="C167" s="19" t="str">
        <f>IFERROR(VLOOKUP(B167,法术大全!$A:$W,5,FALSE),"")</f>
        <v/>
      </c>
      <c r="D167" s="284" t="str">
        <f>IFERROR(VLOOKUP(B167,法术大全!$A:$W,4,FALSE),"")</f>
        <v/>
      </c>
      <c r="E167" s="19">
        <v>166</v>
      </c>
      <c r="F167" s="285" t="str">
        <f t="shared" si="5"/>
        <v/>
      </c>
      <c r="G167" s="19"/>
      <c r="H167" s="19"/>
      <c r="I167" s="19"/>
      <c r="J167" s="19"/>
      <c r="K167" s="19"/>
      <c r="L167" s="19"/>
    </row>
    <row r="168" spans="1:12" ht="16.5" customHeight="1">
      <c r="A168" s="19">
        <v>167</v>
      </c>
      <c r="B168" s="19" t="str">
        <f>IF(法术书!AM19="","",法术书!AM19)</f>
        <v/>
      </c>
      <c r="C168" s="19" t="str">
        <f>IFERROR(VLOOKUP(B168,法术大全!$A:$W,5,FALSE),"")</f>
        <v/>
      </c>
      <c r="D168" s="284" t="str">
        <f>IFERROR(VLOOKUP(B168,法术大全!$A:$W,4,FALSE),"")</f>
        <v/>
      </c>
      <c r="E168" s="19">
        <v>167</v>
      </c>
      <c r="F168" s="285" t="str">
        <f t="shared" si="5"/>
        <v/>
      </c>
      <c r="G168" s="19"/>
      <c r="H168" s="19"/>
      <c r="I168" s="19"/>
      <c r="J168" s="19"/>
      <c r="K168" s="19"/>
      <c r="L168" s="19"/>
    </row>
    <row r="169" spans="1:12" ht="16.5" customHeight="1">
      <c r="A169" s="19">
        <v>168</v>
      </c>
      <c r="B169" s="19" t="str">
        <f>IF(法术书!AM20="","",法术书!AM20)</f>
        <v/>
      </c>
      <c r="C169" s="19" t="str">
        <f>IFERROR(VLOOKUP(B169,法术大全!$A:$W,5,FALSE),"")</f>
        <v/>
      </c>
      <c r="D169" s="284" t="str">
        <f>IFERROR(VLOOKUP(B169,法术大全!$A:$W,4,FALSE),"")</f>
        <v/>
      </c>
      <c r="E169" s="19">
        <v>168</v>
      </c>
      <c r="F169" s="285" t="str">
        <f t="shared" si="5"/>
        <v/>
      </c>
      <c r="G169" s="19"/>
      <c r="H169" s="19"/>
      <c r="I169" s="19"/>
      <c r="J169" s="19"/>
      <c r="K169" s="19"/>
      <c r="L169" s="19"/>
    </row>
    <row r="170" spans="1:12" ht="16.5" customHeight="1">
      <c r="A170" s="19">
        <v>169</v>
      </c>
      <c r="B170" s="19" t="str">
        <f>IF(法术书!AM21="","",法术书!AM21)</f>
        <v/>
      </c>
      <c r="C170" s="19" t="str">
        <f>IFERROR(VLOOKUP(B170,法术大全!$A:$W,5,FALSE),"")</f>
        <v/>
      </c>
      <c r="D170" s="284" t="str">
        <f>IFERROR(VLOOKUP(B170,法术大全!$A:$W,4,FALSE),"")</f>
        <v/>
      </c>
      <c r="E170" s="19">
        <v>169</v>
      </c>
      <c r="F170" s="285" t="str">
        <f t="shared" si="5"/>
        <v/>
      </c>
      <c r="G170" s="19"/>
      <c r="H170" s="19"/>
      <c r="I170" s="19"/>
      <c r="J170" s="19"/>
      <c r="K170" s="19"/>
      <c r="L170" s="19"/>
    </row>
    <row r="171" spans="1:12" ht="16.5" customHeight="1">
      <c r="A171" s="19">
        <v>170</v>
      </c>
      <c r="B171" s="19" t="str">
        <f>IF(法术书!AM22="","",法术书!AM22)</f>
        <v/>
      </c>
      <c r="C171" s="19" t="str">
        <f>IFERROR(VLOOKUP(B171,法术大全!$A:$W,5,FALSE),"")</f>
        <v/>
      </c>
      <c r="D171" s="284" t="str">
        <f>IFERROR(VLOOKUP(B171,法术大全!$A:$W,4,FALSE),"")</f>
        <v/>
      </c>
      <c r="E171" s="19">
        <v>170</v>
      </c>
      <c r="F171" s="285" t="str">
        <f t="shared" si="5"/>
        <v/>
      </c>
      <c r="G171" s="19"/>
      <c r="H171" s="19"/>
      <c r="I171" s="19"/>
      <c r="J171" s="19"/>
      <c r="K171" s="19"/>
      <c r="L171" s="19"/>
    </row>
    <row r="172" spans="1:12" ht="16.5" customHeight="1">
      <c r="A172" s="19">
        <v>171</v>
      </c>
      <c r="B172" s="19" t="str">
        <f>IF(法术书!AM23="","",法术书!AM23)</f>
        <v/>
      </c>
      <c r="C172" s="19" t="str">
        <f>IFERROR(VLOOKUP(B172,法术大全!$A:$W,5,FALSE),"")</f>
        <v/>
      </c>
      <c r="D172" s="284" t="str">
        <f>IFERROR(VLOOKUP(B172,法术大全!$A:$W,4,FALSE),"")</f>
        <v/>
      </c>
      <c r="E172" s="19">
        <v>171</v>
      </c>
      <c r="F172" s="285" t="str">
        <f t="shared" si="5"/>
        <v/>
      </c>
      <c r="G172" s="19"/>
      <c r="H172" s="19"/>
      <c r="I172" s="19"/>
      <c r="J172" s="19"/>
      <c r="K172" s="19"/>
      <c r="L172" s="19"/>
    </row>
    <row r="173" spans="1:12" ht="16.5" customHeight="1">
      <c r="A173" s="19">
        <v>172</v>
      </c>
      <c r="B173" s="19" t="str">
        <f>IF(法术书!AM24="","",法术书!AM24)</f>
        <v/>
      </c>
      <c r="C173" s="19" t="str">
        <f>IFERROR(VLOOKUP(B173,法术大全!$A:$W,5,FALSE),"")</f>
        <v/>
      </c>
      <c r="D173" s="284" t="str">
        <f>IFERROR(VLOOKUP(B173,法术大全!$A:$W,4,FALSE),"")</f>
        <v/>
      </c>
      <c r="E173" s="19">
        <v>172</v>
      </c>
      <c r="F173" s="285" t="str">
        <f t="shared" si="5"/>
        <v/>
      </c>
      <c r="G173" s="19"/>
      <c r="H173" s="19"/>
      <c r="I173" s="19"/>
      <c r="J173" s="19"/>
      <c r="K173" s="19"/>
      <c r="L173" s="19"/>
    </row>
    <row r="174" spans="1:12" ht="16.5" customHeight="1">
      <c r="A174" s="19">
        <v>173</v>
      </c>
      <c r="B174" s="19" t="str">
        <f>IF(法术书!AM25="","",法术书!AM25)</f>
        <v/>
      </c>
      <c r="C174" s="19" t="str">
        <f>IFERROR(VLOOKUP(B174,法术大全!$A:$W,5,FALSE),"")</f>
        <v/>
      </c>
      <c r="D174" s="284" t="str">
        <f>IFERROR(VLOOKUP(B174,法术大全!$A:$W,4,FALSE),"")</f>
        <v/>
      </c>
      <c r="E174" s="19">
        <v>173</v>
      </c>
      <c r="F174" s="285" t="str">
        <f t="shared" si="5"/>
        <v/>
      </c>
      <c r="G174" s="19"/>
      <c r="H174" s="19"/>
      <c r="I174" s="19"/>
      <c r="J174" s="19"/>
      <c r="K174" s="19"/>
      <c r="L174" s="19"/>
    </row>
    <row r="175" spans="1:12" ht="16.5" customHeight="1">
      <c r="A175" s="19">
        <v>174</v>
      </c>
      <c r="B175" s="19" t="str">
        <f>IF(法术书!AM26="","",法术书!AM26)</f>
        <v/>
      </c>
      <c r="C175" s="19" t="str">
        <f>IFERROR(VLOOKUP(B175,法术大全!$A:$W,5,FALSE),"")</f>
        <v/>
      </c>
      <c r="D175" s="284" t="str">
        <f>IFERROR(VLOOKUP(B175,法术大全!$A:$W,4,FALSE),"")</f>
        <v/>
      </c>
      <c r="E175" s="19">
        <v>174</v>
      </c>
      <c r="F175" s="285" t="str">
        <f t="shared" si="5"/>
        <v/>
      </c>
      <c r="G175" s="19"/>
      <c r="H175" s="19"/>
      <c r="I175" s="19"/>
      <c r="J175" s="19"/>
      <c r="K175" s="19"/>
      <c r="L175" s="19"/>
    </row>
    <row r="176" spans="1:12" ht="16.5" customHeight="1">
      <c r="A176" s="19">
        <v>175</v>
      </c>
      <c r="B176" s="19" t="str">
        <f>IF(法术书!AM27="","",法术书!AM27)</f>
        <v/>
      </c>
      <c r="C176" s="19" t="str">
        <f>IFERROR(VLOOKUP(B176,法术大全!$A:$W,5,FALSE),"")</f>
        <v/>
      </c>
      <c r="D176" s="284" t="str">
        <f>IFERROR(VLOOKUP(B176,法术大全!$A:$W,4,FALSE),"")</f>
        <v/>
      </c>
      <c r="E176" s="19">
        <v>175</v>
      </c>
      <c r="F176" s="285" t="str">
        <f t="shared" si="5"/>
        <v/>
      </c>
      <c r="G176" s="19"/>
      <c r="H176" s="19"/>
      <c r="I176" s="19"/>
      <c r="J176" s="19"/>
      <c r="K176" s="19"/>
      <c r="L176" s="19"/>
    </row>
    <row r="177" spans="1:12" ht="16.5" customHeight="1">
      <c r="A177" s="19">
        <v>176</v>
      </c>
      <c r="B177" s="19" t="str">
        <f>IF(法术书!AM28="","",法术书!AM28)</f>
        <v/>
      </c>
      <c r="C177" s="19" t="str">
        <f>IFERROR(VLOOKUP(B177,法术大全!$A:$W,5,FALSE),"")</f>
        <v/>
      </c>
      <c r="D177" s="284" t="str">
        <f>IFERROR(VLOOKUP(B177,法术大全!$A:$W,4,FALSE),"")</f>
        <v/>
      </c>
      <c r="E177" s="19">
        <v>176</v>
      </c>
      <c r="F177" s="285" t="str">
        <f t="shared" si="5"/>
        <v/>
      </c>
      <c r="G177" s="19"/>
      <c r="H177" s="19"/>
      <c r="I177" s="19"/>
      <c r="J177" s="19"/>
      <c r="K177" s="19"/>
      <c r="L177" s="19"/>
    </row>
    <row r="178" spans="1:12" ht="16.5" customHeight="1">
      <c r="A178" s="19">
        <v>177</v>
      </c>
      <c r="B178" s="19" t="str">
        <f>IF(法术书!AM29="","",法术书!AM29)</f>
        <v/>
      </c>
      <c r="C178" s="19" t="str">
        <f>IFERROR(VLOOKUP(B178,法术大全!$A:$W,5,FALSE),"")</f>
        <v/>
      </c>
      <c r="D178" s="284" t="str">
        <f>IFERROR(VLOOKUP(B178,法术大全!$A:$W,4,FALSE),"")</f>
        <v/>
      </c>
      <c r="E178" s="19">
        <v>177</v>
      </c>
      <c r="F178" s="285" t="str">
        <f t="shared" si="5"/>
        <v/>
      </c>
      <c r="G178" s="19"/>
      <c r="H178" s="19"/>
      <c r="I178" s="19"/>
      <c r="J178" s="19"/>
      <c r="K178" s="19"/>
      <c r="L178" s="19"/>
    </row>
    <row r="179" spans="1:12" ht="16.5" customHeight="1">
      <c r="A179" s="19">
        <v>178</v>
      </c>
      <c r="B179" s="19" t="str">
        <f>IF(法术书!AM30="","",法术书!AM30)</f>
        <v/>
      </c>
      <c r="C179" s="19" t="str">
        <f>IFERROR(VLOOKUP(B179,法术大全!$A:$W,5,FALSE),"")</f>
        <v/>
      </c>
      <c r="D179" s="284" t="str">
        <f>IFERROR(VLOOKUP(B179,法术大全!$A:$W,4,FALSE),"")</f>
        <v/>
      </c>
      <c r="E179" s="19">
        <v>178</v>
      </c>
      <c r="F179" s="285" t="str">
        <f t="shared" si="5"/>
        <v/>
      </c>
      <c r="G179" s="19"/>
      <c r="H179" s="19"/>
      <c r="I179" s="19"/>
      <c r="J179" s="19"/>
      <c r="K179" s="19"/>
      <c r="L179" s="19"/>
    </row>
    <row r="180" spans="1:12" ht="16.5" customHeight="1">
      <c r="A180" s="19">
        <v>179</v>
      </c>
      <c r="B180" s="19" t="str">
        <f>IF(法术书!AM31="","",法术书!AM31)</f>
        <v/>
      </c>
      <c r="C180" s="19" t="str">
        <f>IFERROR(VLOOKUP(B180,法术大全!$A:$W,5,FALSE),"")</f>
        <v/>
      </c>
      <c r="D180" s="284" t="str">
        <f>IFERROR(VLOOKUP(B180,法术大全!$A:$W,4,FALSE),"")</f>
        <v/>
      </c>
      <c r="E180" s="19">
        <v>179</v>
      </c>
      <c r="F180" s="285" t="str">
        <f t="shared" si="5"/>
        <v/>
      </c>
      <c r="G180" s="19"/>
      <c r="H180" s="19"/>
      <c r="I180" s="19"/>
      <c r="J180" s="19"/>
      <c r="K180" s="19"/>
      <c r="L180" s="19"/>
    </row>
    <row r="181" spans="1:12" ht="16.5" customHeight="1">
      <c r="A181" s="19">
        <v>180</v>
      </c>
      <c r="B181" s="19" t="str">
        <f>IF(法术书!AM32="","",法术书!AM32)</f>
        <v/>
      </c>
      <c r="C181" s="19" t="str">
        <f>IFERROR(VLOOKUP(B181,法术大全!$A:$W,5,FALSE),"")</f>
        <v/>
      </c>
      <c r="D181" s="284" t="str">
        <f>IFERROR(VLOOKUP(B181,法术大全!$A:$W,4,FALSE),"")</f>
        <v/>
      </c>
      <c r="E181" s="19">
        <v>180</v>
      </c>
      <c r="F181" s="285" t="str">
        <f t="shared" si="5"/>
        <v/>
      </c>
      <c r="G181" s="19"/>
      <c r="H181" s="19"/>
      <c r="I181" s="19"/>
      <c r="J181" s="19"/>
      <c r="K181" s="19"/>
      <c r="L181" s="19"/>
    </row>
    <row r="182" spans="1:12" ht="16.5" customHeight="1">
      <c r="A182" s="19">
        <v>181</v>
      </c>
      <c r="B182" s="19" t="str">
        <f>IF(法术书!AM33="","",法术书!AM33)</f>
        <v/>
      </c>
      <c r="C182" s="19" t="str">
        <f>IFERROR(VLOOKUP(B182,法术大全!$A:$W,5,FALSE),"")</f>
        <v/>
      </c>
      <c r="D182" s="284" t="str">
        <f>IFERROR(VLOOKUP(B182,法术大全!$A:$W,4,FALSE),"")</f>
        <v/>
      </c>
      <c r="E182" s="19">
        <v>181</v>
      </c>
      <c r="F182" s="285" t="str">
        <f t="shared" si="5"/>
        <v/>
      </c>
      <c r="G182" s="19"/>
      <c r="H182" s="19"/>
      <c r="I182" s="19"/>
      <c r="J182" s="19"/>
      <c r="K182" s="19"/>
      <c r="L182" s="19"/>
    </row>
    <row r="183" spans="1:12" ht="16.5" customHeight="1">
      <c r="A183" s="19">
        <v>182</v>
      </c>
      <c r="B183" s="19" t="str">
        <f>IF(法术书!AM34="","",法术书!AM34)</f>
        <v/>
      </c>
      <c r="C183" s="19" t="str">
        <f>IFERROR(VLOOKUP(B183,法术大全!$A:$W,5,FALSE),"")</f>
        <v/>
      </c>
      <c r="D183" s="284" t="str">
        <f>IFERROR(VLOOKUP(B183,法术大全!$A:$W,4,FALSE),"")</f>
        <v/>
      </c>
      <c r="E183" s="19">
        <v>182</v>
      </c>
      <c r="F183" s="285" t="str">
        <f t="shared" si="5"/>
        <v/>
      </c>
      <c r="G183" s="19"/>
      <c r="H183" s="19"/>
      <c r="I183" s="19"/>
      <c r="J183" s="19"/>
      <c r="K183" s="19"/>
      <c r="L183" s="19"/>
    </row>
    <row r="184" spans="1:12" ht="16.5" customHeight="1">
      <c r="A184" s="19">
        <v>183</v>
      </c>
      <c r="B184" s="19" t="str">
        <f>IF(法术书!AM35="","",法术书!AM35)</f>
        <v/>
      </c>
      <c r="C184" s="19" t="str">
        <f>IFERROR(VLOOKUP(B184,法术大全!$A:$W,5,FALSE),"")</f>
        <v/>
      </c>
      <c r="D184" s="284" t="str">
        <f>IFERROR(VLOOKUP(B184,法术大全!$A:$W,4,FALSE),"")</f>
        <v/>
      </c>
      <c r="E184" s="19">
        <v>183</v>
      </c>
      <c r="F184" s="285" t="str">
        <f t="shared" si="5"/>
        <v/>
      </c>
      <c r="G184" s="19"/>
      <c r="H184" s="19"/>
      <c r="I184" s="19"/>
      <c r="J184" s="19"/>
      <c r="K184" s="19"/>
      <c r="L184" s="19"/>
    </row>
    <row r="185" spans="1:12" ht="16.5" customHeight="1">
      <c r="A185" s="19">
        <v>184</v>
      </c>
      <c r="B185" s="19" t="str">
        <f>IF(法术书!AM36="","",法术书!AM36)</f>
        <v/>
      </c>
      <c r="C185" s="19" t="str">
        <f>IFERROR(VLOOKUP(B185,法术大全!$A:$W,5,FALSE),"")</f>
        <v/>
      </c>
      <c r="D185" s="284" t="str">
        <f>IFERROR(VLOOKUP(B185,法术大全!$A:$W,4,FALSE),"")</f>
        <v/>
      </c>
      <c r="E185" s="19">
        <v>184</v>
      </c>
      <c r="F185" s="285" t="str">
        <f t="shared" si="5"/>
        <v/>
      </c>
      <c r="G185" s="19"/>
      <c r="H185" s="19"/>
      <c r="I185" s="19"/>
      <c r="J185" s="19"/>
      <c r="K185" s="19"/>
      <c r="L185" s="19"/>
    </row>
    <row r="186" spans="1:12" ht="16.5" customHeight="1">
      <c r="A186" s="19">
        <v>185</v>
      </c>
      <c r="B186" s="19" t="str">
        <f>IF(法术书!AM37="","",法术书!AM37)</f>
        <v/>
      </c>
      <c r="C186" s="19" t="str">
        <f>IFERROR(VLOOKUP(B186,法术大全!$A:$W,5,FALSE),"")</f>
        <v/>
      </c>
      <c r="D186" s="284" t="str">
        <f>IFERROR(VLOOKUP(B186,法术大全!$A:$W,4,FALSE),"")</f>
        <v/>
      </c>
      <c r="E186" s="19">
        <v>185</v>
      </c>
      <c r="F186" s="285" t="str">
        <f t="shared" si="5"/>
        <v/>
      </c>
      <c r="G186" s="19"/>
      <c r="H186" s="19"/>
      <c r="I186" s="19"/>
      <c r="J186" s="19"/>
      <c r="K186" s="19"/>
      <c r="L186" s="19"/>
    </row>
    <row r="187" spans="1:12" ht="16.5" customHeight="1">
      <c r="A187" s="19">
        <v>186</v>
      </c>
      <c r="B187" s="19" t="str">
        <f>IF(法术书!AM38="","",法术书!AM38)</f>
        <v/>
      </c>
      <c r="C187" s="19" t="str">
        <f>IFERROR(VLOOKUP(B187,法术大全!$A:$W,5,FALSE),"")</f>
        <v/>
      </c>
      <c r="D187" s="284" t="str">
        <f>IFERROR(VLOOKUP(B187,法术大全!$A:$W,4,FALSE),"")</f>
        <v/>
      </c>
      <c r="E187" s="19">
        <v>186</v>
      </c>
      <c r="F187" s="285" t="str">
        <f t="shared" si="5"/>
        <v/>
      </c>
      <c r="G187" s="19"/>
      <c r="H187" s="19"/>
      <c r="I187" s="19"/>
      <c r="J187" s="19"/>
      <c r="K187" s="19"/>
      <c r="L187" s="19"/>
    </row>
    <row r="188" spans="1:12" ht="16.5" customHeight="1">
      <c r="A188" s="19">
        <v>187</v>
      </c>
      <c r="B188" s="19" t="str">
        <f>IF(法术书!AM39="","",法术书!AM39)</f>
        <v/>
      </c>
      <c r="C188" s="19" t="str">
        <f>IFERROR(VLOOKUP(B188,法术大全!$A:$W,5,FALSE),"")</f>
        <v/>
      </c>
      <c r="D188" s="284" t="str">
        <f>IFERROR(VLOOKUP(B188,法术大全!$A:$W,4,FALSE),"")</f>
        <v/>
      </c>
      <c r="E188" s="19">
        <v>187</v>
      </c>
      <c r="F188" s="285" t="str">
        <f t="shared" si="5"/>
        <v/>
      </c>
      <c r="G188" s="19"/>
      <c r="H188" s="19"/>
      <c r="I188" s="19"/>
      <c r="J188" s="19"/>
      <c r="K188" s="19"/>
      <c r="L188" s="19"/>
    </row>
    <row r="189" spans="1:12" ht="16.5" customHeight="1">
      <c r="A189" s="19">
        <v>188</v>
      </c>
      <c r="B189" s="19" t="str">
        <f>IF(法术书!AM40="","",法术书!AM40)</f>
        <v/>
      </c>
      <c r="C189" s="19" t="str">
        <f>IFERROR(VLOOKUP(B189,法术大全!$A:$W,5,FALSE),"")</f>
        <v/>
      </c>
      <c r="D189" s="284" t="str">
        <f>IFERROR(VLOOKUP(B189,法术大全!$A:$W,4,FALSE),"")</f>
        <v/>
      </c>
      <c r="E189" s="19">
        <v>188</v>
      </c>
      <c r="F189" s="285" t="str">
        <f t="shared" si="5"/>
        <v/>
      </c>
      <c r="G189" s="19"/>
      <c r="H189" s="19"/>
      <c r="I189" s="19"/>
      <c r="J189" s="19"/>
      <c r="K189" s="19"/>
      <c r="L189" s="19"/>
    </row>
    <row r="190" spans="1:12" ht="16.5" customHeight="1">
      <c r="A190" s="19">
        <v>189</v>
      </c>
      <c r="B190" s="19" t="str">
        <f>IF(法术书!AM41="","",法术书!AM41)</f>
        <v/>
      </c>
      <c r="C190" s="19" t="str">
        <f>IFERROR(VLOOKUP(B190,法术大全!$A:$W,5,FALSE),"")</f>
        <v/>
      </c>
      <c r="D190" s="284" t="str">
        <f>IFERROR(VLOOKUP(B190,法术大全!$A:$W,4,FALSE),"")</f>
        <v/>
      </c>
      <c r="E190" s="19">
        <v>189</v>
      </c>
      <c r="F190" s="285" t="str">
        <f t="shared" si="5"/>
        <v/>
      </c>
      <c r="G190" s="19"/>
      <c r="H190" s="19"/>
      <c r="I190" s="19"/>
      <c r="J190" s="19"/>
      <c r="K190" s="19"/>
      <c r="L190" s="19"/>
    </row>
    <row r="191" spans="1:12" ht="16.5" customHeight="1">
      <c r="A191" s="19">
        <v>190</v>
      </c>
      <c r="B191" s="19" t="str">
        <f>IF(法术书!AM42="","",法术书!AM42)</f>
        <v/>
      </c>
      <c r="C191" s="19" t="str">
        <f>IFERROR(VLOOKUP(B191,法术大全!$A:$W,5,FALSE),"")</f>
        <v/>
      </c>
      <c r="D191" s="284" t="str">
        <f>IFERROR(VLOOKUP(B191,法术大全!$A:$W,4,FALSE),"")</f>
        <v/>
      </c>
      <c r="E191" s="19">
        <v>190</v>
      </c>
      <c r="F191" s="285" t="str">
        <f t="shared" si="5"/>
        <v/>
      </c>
      <c r="G191" s="19"/>
      <c r="H191" s="19"/>
      <c r="I191" s="19"/>
      <c r="J191" s="19"/>
      <c r="K191" s="19"/>
      <c r="L191" s="19"/>
    </row>
    <row r="192" spans="1:12" ht="16.5" customHeight="1">
      <c r="A192" s="19">
        <v>191</v>
      </c>
      <c r="B192" s="19" t="str">
        <f>IF(法术书!AM43="","",法术书!AM43)</f>
        <v/>
      </c>
      <c r="C192" s="19" t="str">
        <f>IFERROR(VLOOKUP(B192,法术大全!$A:$W,5,FALSE),"")</f>
        <v/>
      </c>
      <c r="D192" s="284" t="str">
        <f>IFERROR(VLOOKUP(B192,法术大全!$A:$W,4,FALSE),"")</f>
        <v/>
      </c>
      <c r="E192" s="19">
        <v>191</v>
      </c>
      <c r="F192" s="285" t="str">
        <f t="shared" si="5"/>
        <v/>
      </c>
      <c r="G192" s="19"/>
      <c r="H192" s="19"/>
      <c r="I192" s="19"/>
      <c r="J192" s="19"/>
      <c r="K192" s="19"/>
      <c r="L192" s="19"/>
    </row>
    <row r="193" spans="1:12" ht="16.5" customHeight="1">
      <c r="A193" s="19">
        <v>192</v>
      </c>
      <c r="B193" s="19" t="str">
        <f>IF(法术书!AM44="","",法术书!AM44)</f>
        <v/>
      </c>
      <c r="C193" s="19" t="str">
        <f>IFERROR(VLOOKUP(B193,法术大全!$A:$W,5,FALSE),"")</f>
        <v/>
      </c>
      <c r="D193" s="284" t="str">
        <f>IFERROR(VLOOKUP(B193,法术大全!$A:$W,4,FALSE),"")</f>
        <v/>
      </c>
      <c r="E193" s="19">
        <v>192</v>
      </c>
      <c r="F193" s="285" t="str">
        <f t="shared" si="5"/>
        <v/>
      </c>
      <c r="G193" s="19"/>
      <c r="H193" s="19"/>
      <c r="I193" s="19"/>
      <c r="J193" s="19"/>
      <c r="K193" s="19"/>
      <c r="L193" s="19"/>
    </row>
    <row r="194" spans="1:12" ht="16.5" customHeight="1">
      <c r="A194" s="19">
        <v>193</v>
      </c>
      <c r="B194" s="19" t="str">
        <f>IF(法术书!AM45="","",法术书!AM45)</f>
        <v/>
      </c>
      <c r="C194" s="19" t="str">
        <f>IFERROR(VLOOKUP(B194,法术大全!$A:$W,5,FALSE),"")</f>
        <v/>
      </c>
      <c r="D194" s="284" t="str">
        <f>IFERROR(VLOOKUP(B194,法术大全!$A:$W,4,FALSE),"")</f>
        <v/>
      </c>
      <c r="E194" s="19">
        <v>193</v>
      </c>
      <c r="F194" s="285" t="str">
        <f t="shared" si="5"/>
        <v/>
      </c>
      <c r="G194" s="19"/>
      <c r="H194" s="19"/>
      <c r="I194" s="19"/>
      <c r="J194" s="19"/>
      <c r="K194" s="19"/>
      <c r="L194" s="19"/>
    </row>
    <row r="195" spans="1:12" ht="16.5" customHeight="1">
      <c r="A195" s="19">
        <v>194</v>
      </c>
      <c r="B195" s="19" t="str">
        <f>IF(法术书!AM46="","",法术书!AM46)</f>
        <v/>
      </c>
      <c r="C195" s="19" t="str">
        <f>IFERROR(VLOOKUP(B195,法术大全!$A:$W,5,FALSE),"")</f>
        <v/>
      </c>
      <c r="D195" s="284" t="str">
        <f>IFERROR(VLOOKUP(B195,法术大全!$A:$W,4,FALSE),"")</f>
        <v/>
      </c>
      <c r="E195" s="19">
        <v>194</v>
      </c>
      <c r="F195" s="285" t="str">
        <f t="shared" si="5"/>
        <v/>
      </c>
      <c r="G195" s="19"/>
      <c r="H195" s="19"/>
      <c r="I195" s="19"/>
      <c r="J195" s="19"/>
      <c r="K195" s="19"/>
      <c r="L195" s="19"/>
    </row>
    <row r="196" spans="1:12" ht="16.5" customHeight="1">
      <c r="A196" s="19">
        <v>195</v>
      </c>
      <c r="B196" s="19" t="str">
        <f>IF(法术书!AM47="","",法术书!AM47)</f>
        <v/>
      </c>
      <c r="C196" s="19" t="str">
        <f>IFERROR(VLOOKUP(B196,法术大全!$A:$W,5,FALSE),"")</f>
        <v/>
      </c>
      <c r="D196" s="284" t="str">
        <f>IFERROR(VLOOKUP(B196,法术大全!$A:$W,4,FALSE),"")</f>
        <v/>
      </c>
      <c r="E196" s="19">
        <v>195</v>
      </c>
      <c r="F196" s="285" t="str">
        <f t="shared" si="5"/>
        <v/>
      </c>
      <c r="G196" s="19"/>
      <c r="H196" s="19"/>
      <c r="I196" s="19"/>
      <c r="J196" s="19"/>
      <c r="K196" s="19"/>
      <c r="L196" s="19"/>
    </row>
    <row r="197" spans="1:12" ht="16.5" customHeight="1">
      <c r="A197" s="19">
        <v>196</v>
      </c>
      <c r="B197" s="19" t="str">
        <f>IF(法术书!AM48="","",法术书!AM48)</f>
        <v/>
      </c>
      <c r="C197" s="19" t="str">
        <f>IFERROR(VLOOKUP(B197,法术大全!$A:$W,5,FALSE),"")</f>
        <v/>
      </c>
      <c r="D197" s="284" t="str">
        <f>IFERROR(VLOOKUP(B197,法术大全!$A:$W,4,FALSE),"")</f>
        <v/>
      </c>
      <c r="E197" s="19">
        <v>196</v>
      </c>
      <c r="F197" s="285" t="str">
        <f t="shared" si="5"/>
        <v/>
      </c>
      <c r="G197" s="19"/>
      <c r="H197" s="19"/>
      <c r="I197" s="19"/>
      <c r="J197" s="19"/>
      <c r="K197" s="19"/>
      <c r="L197" s="19"/>
    </row>
    <row r="198" spans="1:12" ht="16.5" customHeight="1">
      <c r="A198" s="19">
        <v>197</v>
      </c>
      <c r="B198" s="19" t="str">
        <f>IF(法术书!AM49="","",法术书!AM49)</f>
        <v/>
      </c>
      <c r="C198" s="19" t="str">
        <f>IFERROR(VLOOKUP(B198,法术大全!$A:$W,5,FALSE),"")</f>
        <v/>
      </c>
      <c r="D198" s="284" t="str">
        <f>IFERROR(VLOOKUP(B198,法术大全!$A:$W,4,FALSE),"")</f>
        <v/>
      </c>
      <c r="E198" s="19">
        <v>197</v>
      </c>
      <c r="F198" s="285" t="str">
        <f t="shared" si="5"/>
        <v/>
      </c>
      <c r="G198" s="19"/>
      <c r="H198" s="19"/>
      <c r="I198" s="19"/>
      <c r="J198" s="19"/>
      <c r="K198" s="19"/>
      <c r="L198" s="19"/>
    </row>
    <row r="199" spans="1:12" ht="16.5" customHeight="1">
      <c r="A199" s="19">
        <v>198</v>
      </c>
      <c r="B199" s="19" t="str">
        <f>IF(法术书!AM50="","",法术书!AM50)</f>
        <v/>
      </c>
      <c r="C199" s="19" t="str">
        <f>IFERROR(VLOOKUP(B199,法术大全!$A:$W,5,FALSE),"")</f>
        <v/>
      </c>
      <c r="D199" s="284" t="str">
        <f>IFERROR(VLOOKUP(B199,法术大全!$A:$W,4,FALSE),"")</f>
        <v/>
      </c>
      <c r="E199" s="19">
        <v>198</v>
      </c>
      <c r="F199" s="285" t="str">
        <f t="shared" si="5"/>
        <v/>
      </c>
      <c r="G199" s="19"/>
      <c r="H199" s="19"/>
      <c r="I199" s="19"/>
      <c r="J199" s="19"/>
      <c r="K199" s="19"/>
      <c r="L199" s="19"/>
    </row>
    <row r="200" spans="1:12" ht="16.5" customHeight="1">
      <c r="A200" s="19">
        <v>199</v>
      </c>
      <c r="B200" s="19" t="str">
        <f>IF(法术书!AM51="","",法术书!AM51)</f>
        <v/>
      </c>
      <c r="C200" s="19" t="str">
        <f>IFERROR(VLOOKUP(B200,法术大全!$A:$W,5,FALSE),"")</f>
        <v/>
      </c>
      <c r="D200" s="284" t="str">
        <f>IFERROR(VLOOKUP(B200,法术大全!$A:$W,4,FALSE),"")</f>
        <v/>
      </c>
      <c r="E200" s="19">
        <v>199</v>
      </c>
      <c r="F200" s="285" t="str">
        <f t="shared" si="5"/>
        <v/>
      </c>
      <c r="G200" s="19"/>
      <c r="H200" s="19"/>
      <c r="I200" s="19"/>
      <c r="J200" s="19"/>
      <c r="K200" s="19"/>
      <c r="L200" s="19"/>
    </row>
    <row r="201" spans="1:12" ht="16.5" customHeight="1">
      <c r="A201" s="19">
        <v>200</v>
      </c>
      <c r="B201" s="19" t="str">
        <f>IF(法术书!AM52="","",法术书!AM52)</f>
        <v/>
      </c>
      <c r="C201" s="19" t="str">
        <f>IFERROR(VLOOKUP(B201,法术大全!$A:$W,5,FALSE),"")</f>
        <v/>
      </c>
      <c r="D201" s="284" t="str">
        <f>IFERROR(VLOOKUP(B201,法术大全!$A:$W,4,FALSE),"")</f>
        <v/>
      </c>
      <c r="E201" s="19">
        <v>200</v>
      </c>
      <c r="F201" s="285" t="str">
        <f t="shared" si="5"/>
        <v/>
      </c>
      <c r="G201" s="19"/>
      <c r="H201" s="19"/>
      <c r="I201" s="19"/>
      <c r="J201" s="19"/>
      <c r="K201" s="19"/>
      <c r="L201" s="19"/>
    </row>
    <row r="202" spans="1:12" ht="16.5" customHeight="1">
      <c r="A202" s="19">
        <v>201</v>
      </c>
      <c r="B202" s="19" t="str">
        <f>IF(法术书!AR3="","",法术书!AR3)</f>
        <v/>
      </c>
      <c r="C202" s="19" t="str">
        <f>IFERROR(VLOOKUP(B202,法术大全!$A:$W,5,FALSE),"")</f>
        <v/>
      </c>
      <c r="D202" s="284" t="str">
        <f>IFERROR(VLOOKUP(B202,法术大全!$A:$W,4,FALSE),"")</f>
        <v/>
      </c>
      <c r="E202" s="19">
        <v>201</v>
      </c>
      <c r="F202" s="285" t="str">
        <f>B202</f>
        <v/>
      </c>
      <c r="G202" s="19"/>
      <c r="H202" s="19"/>
      <c r="I202" s="19"/>
      <c r="J202" s="19"/>
      <c r="K202" s="19"/>
      <c r="L202" s="19"/>
    </row>
    <row r="203" spans="1:12" ht="16.5" customHeight="1">
      <c r="A203" s="19">
        <v>202</v>
      </c>
      <c r="B203" s="19" t="str">
        <f>IF(法术书!AR4="","",法术书!AR4)</f>
        <v/>
      </c>
      <c r="C203" s="19" t="str">
        <f>IFERROR(VLOOKUP(B203,法术大全!$A:$W,5,FALSE),"")</f>
        <v/>
      </c>
      <c r="D203" s="284" t="str">
        <f>IFERROR(VLOOKUP(B203,法术大全!$A:$W,4,FALSE),"")</f>
        <v/>
      </c>
      <c r="E203" s="19">
        <v>202</v>
      </c>
      <c r="F203" s="285" t="str">
        <f>B203</f>
        <v/>
      </c>
      <c r="G203" s="19"/>
      <c r="H203" s="19"/>
      <c r="I203" s="19"/>
      <c r="J203" s="19"/>
      <c r="K203" s="19"/>
      <c r="L203" s="19"/>
    </row>
    <row r="204" spans="1:12" ht="16.5" customHeight="1">
      <c r="A204" s="19">
        <v>203</v>
      </c>
      <c r="B204" s="19" t="str">
        <f>IF(法术书!AR5="","",法术书!AR5)</f>
        <v/>
      </c>
      <c r="C204" s="19" t="str">
        <f>IFERROR(VLOOKUP(B204,法术大全!$A:$W,5,FALSE),"")</f>
        <v/>
      </c>
      <c r="D204" s="284" t="str">
        <f>IFERROR(VLOOKUP(B204,法术大全!$A:$W,4,FALSE),"")</f>
        <v/>
      </c>
      <c r="E204" s="19">
        <v>203</v>
      </c>
      <c r="F204" s="285" t="str">
        <f>B204</f>
        <v/>
      </c>
      <c r="G204" s="19"/>
      <c r="H204" s="19"/>
      <c r="I204" s="19"/>
      <c r="J204" s="19"/>
      <c r="K204" s="19"/>
      <c r="L204" s="19"/>
    </row>
    <row r="205" spans="1:12" ht="16.5" customHeight="1">
      <c r="A205" s="19">
        <v>204</v>
      </c>
      <c r="B205" s="19" t="str">
        <f>IF(法术书!AR6="","",法术书!AR6)</f>
        <v/>
      </c>
      <c r="C205" s="19" t="str">
        <f>IFERROR(VLOOKUP(B205,法术大全!$A:$W,5,FALSE),"")</f>
        <v/>
      </c>
      <c r="D205" s="284" t="str">
        <f>IFERROR(VLOOKUP(B205,法术大全!$A:$W,4,FALSE),"")</f>
        <v/>
      </c>
      <c r="E205" s="19">
        <v>204</v>
      </c>
      <c r="F205" s="285" t="str">
        <f>B205</f>
        <v/>
      </c>
      <c r="G205" s="19"/>
      <c r="H205" s="19"/>
      <c r="I205" s="19"/>
      <c r="J205" s="19"/>
      <c r="K205" s="19"/>
      <c r="L205" s="19"/>
    </row>
    <row r="206" spans="1:12" ht="16.5" customHeight="1">
      <c r="A206" s="19">
        <v>205</v>
      </c>
      <c r="B206" s="19" t="str">
        <f>IF(法术书!AR7="","",法术书!AR7)</f>
        <v/>
      </c>
      <c r="C206" s="19" t="str">
        <f>IFERROR(VLOOKUP(B206,法术大全!$A:$W,5,FALSE),"")</f>
        <v/>
      </c>
      <c r="D206" s="284" t="str">
        <f>IFERROR(VLOOKUP(B206,法术大全!$A:$W,4,FALSE),"")</f>
        <v/>
      </c>
      <c r="E206" s="19">
        <v>205</v>
      </c>
      <c r="F206" s="285" t="str">
        <f t="shared" ref="F206:F251" si="6">B206</f>
        <v/>
      </c>
      <c r="G206" s="19"/>
      <c r="H206" s="19"/>
      <c r="I206" s="19"/>
      <c r="J206" s="19"/>
      <c r="K206" s="19"/>
      <c r="L206" s="19"/>
    </row>
    <row r="207" spans="1:12" ht="16.5" customHeight="1">
      <c r="A207" s="19">
        <v>206</v>
      </c>
      <c r="B207" s="19" t="str">
        <f>IF(法术书!AR8="","",法术书!AR8)</f>
        <v/>
      </c>
      <c r="C207" s="19" t="str">
        <f>IFERROR(VLOOKUP(B207,法术大全!$A:$W,5,FALSE),"")</f>
        <v/>
      </c>
      <c r="D207" s="284" t="str">
        <f>IFERROR(VLOOKUP(B207,法术大全!$A:$W,4,FALSE),"")</f>
        <v/>
      </c>
      <c r="E207" s="19">
        <v>206</v>
      </c>
      <c r="F207" s="285" t="str">
        <f t="shared" si="6"/>
        <v/>
      </c>
      <c r="G207" s="19"/>
      <c r="H207" s="19"/>
      <c r="I207" s="19"/>
      <c r="J207" s="19"/>
      <c r="K207" s="19"/>
      <c r="L207" s="19"/>
    </row>
    <row r="208" spans="1:12" ht="16.5" customHeight="1">
      <c r="A208" s="19">
        <v>207</v>
      </c>
      <c r="B208" s="19" t="str">
        <f>IF(法术书!AR9="","",法术书!AR9)</f>
        <v/>
      </c>
      <c r="C208" s="19" t="str">
        <f>IFERROR(VLOOKUP(B208,法术大全!$A:$W,5,FALSE),"")</f>
        <v/>
      </c>
      <c r="D208" s="284" t="str">
        <f>IFERROR(VLOOKUP(B208,法术大全!$A:$W,4,FALSE),"")</f>
        <v/>
      </c>
      <c r="E208" s="19">
        <v>207</v>
      </c>
      <c r="F208" s="285" t="str">
        <f t="shared" si="6"/>
        <v/>
      </c>
      <c r="G208" s="19"/>
      <c r="H208" s="19"/>
      <c r="I208" s="19"/>
      <c r="J208" s="19"/>
      <c r="K208" s="19"/>
      <c r="L208" s="19"/>
    </row>
    <row r="209" spans="1:12" ht="16.5" customHeight="1">
      <c r="A209" s="19">
        <v>208</v>
      </c>
      <c r="B209" s="19" t="str">
        <f>IF(法术书!AR10="","",法术书!AR10)</f>
        <v/>
      </c>
      <c r="C209" s="19" t="str">
        <f>IFERROR(VLOOKUP(B209,法术大全!$A:$W,5,FALSE),"")</f>
        <v/>
      </c>
      <c r="D209" s="284" t="str">
        <f>IFERROR(VLOOKUP(B209,法术大全!$A:$W,4,FALSE),"")</f>
        <v/>
      </c>
      <c r="E209" s="19">
        <v>208</v>
      </c>
      <c r="F209" s="285" t="str">
        <f t="shared" si="6"/>
        <v/>
      </c>
      <c r="G209" s="19"/>
      <c r="H209" s="19"/>
      <c r="I209" s="19"/>
      <c r="J209" s="19"/>
      <c r="K209" s="19"/>
      <c r="L209" s="19"/>
    </row>
    <row r="210" spans="1:12" ht="16.5" customHeight="1">
      <c r="A210" s="19">
        <v>209</v>
      </c>
      <c r="B210" s="19" t="str">
        <f>IF(法术书!AR11="","",法术书!AR11)</f>
        <v/>
      </c>
      <c r="C210" s="19" t="str">
        <f>IFERROR(VLOOKUP(B210,法术大全!$A:$W,5,FALSE),"")</f>
        <v/>
      </c>
      <c r="D210" s="284" t="str">
        <f>IFERROR(VLOOKUP(B210,法术大全!$A:$W,4,FALSE),"")</f>
        <v/>
      </c>
      <c r="E210" s="19">
        <v>209</v>
      </c>
      <c r="F210" s="285" t="str">
        <f t="shared" si="6"/>
        <v/>
      </c>
      <c r="G210" s="19"/>
      <c r="H210" s="19"/>
      <c r="I210" s="19"/>
      <c r="J210" s="19"/>
      <c r="K210" s="19"/>
      <c r="L210" s="19"/>
    </row>
    <row r="211" spans="1:12" ht="16.5" customHeight="1">
      <c r="A211" s="19">
        <v>210</v>
      </c>
      <c r="B211" s="19" t="str">
        <f>IF(法术书!AR12="","",法术书!AR12)</f>
        <v/>
      </c>
      <c r="C211" s="19" t="str">
        <f>IFERROR(VLOOKUP(B211,法术大全!$A:$W,5,FALSE),"")</f>
        <v/>
      </c>
      <c r="D211" s="284" t="str">
        <f>IFERROR(VLOOKUP(B211,法术大全!$A:$W,4,FALSE),"")</f>
        <v/>
      </c>
      <c r="E211" s="19">
        <v>210</v>
      </c>
      <c r="F211" s="285" t="str">
        <f t="shared" si="6"/>
        <v/>
      </c>
      <c r="G211" s="19"/>
      <c r="H211" s="19"/>
      <c r="I211" s="19"/>
      <c r="J211" s="19"/>
      <c r="K211" s="19"/>
      <c r="L211" s="19"/>
    </row>
    <row r="212" spans="1:12" ht="16.5" customHeight="1">
      <c r="A212" s="19">
        <v>211</v>
      </c>
      <c r="B212" s="19" t="str">
        <f>IF(法术书!AR13="","",法术书!AR13)</f>
        <v/>
      </c>
      <c r="C212" s="19" t="str">
        <f>IFERROR(VLOOKUP(B212,法术大全!$A:$W,5,FALSE),"")</f>
        <v/>
      </c>
      <c r="D212" s="284" t="str">
        <f>IFERROR(VLOOKUP(B212,法术大全!$A:$W,4,FALSE),"")</f>
        <v/>
      </c>
      <c r="E212" s="19">
        <v>211</v>
      </c>
      <c r="F212" s="285" t="str">
        <f t="shared" si="6"/>
        <v/>
      </c>
      <c r="G212" s="19"/>
      <c r="H212" s="19"/>
      <c r="I212" s="19"/>
      <c r="J212" s="19"/>
      <c r="K212" s="19"/>
      <c r="L212" s="19"/>
    </row>
    <row r="213" spans="1:12" ht="16.5" customHeight="1">
      <c r="A213" s="19">
        <v>212</v>
      </c>
      <c r="B213" s="19" t="str">
        <f>IF(法术书!AR14="","",法术书!AR14)</f>
        <v/>
      </c>
      <c r="C213" s="19" t="str">
        <f>IFERROR(VLOOKUP(B213,法术大全!$A:$W,5,FALSE),"")</f>
        <v/>
      </c>
      <c r="D213" s="284" t="str">
        <f>IFERROR(VLOOKUP(B213,法术大全!$A:$W,4,FALSE),"")</f>
        <v/>
      </c>
      <c r="E213" s="19">
        <v>212</v>
      </c>
      <c r="F213" s="285" t="str">
        <f t="shared" si="6"/>
        <v/>
      </c>
      <c r="G213" s="19"/>
      <c r="H213" s="19"/>
      <c r="I213" s="19"/>
      <c r="J213" s="19"/>
      <c r="K213" s="19"/>
      <c r="L213" s="19"/>
    </row>
    <row r="214" spans="1:12" ht="16.5" customHeight="1">
      <c r="A214" s="19">
        <v>213</v>
      </c>
      <c r="B214" s="19" t="str">
        <f>IF(法术书!AR15="","",法术书!AR15)</f>
        <v/>
      </c>
      <c r="C214" s="19" t="str">
        <f>IFERROR(VLOOKUP(B214,法术大全!$A:$W,5,FALSE),"")</f>
        <v/>
      </c>
      <c r="D214" s="284" t="str">
        <f>IFERROR(VLOOKUP(B214,法术大全!$A:$W,4,FALSE),"")</f>
        <v/>
      </c>
      <c r="E214" s="19">
        <v>213</v>
      </c>
      <c r="F214" s="285" t="str">
        <f t="shared" si="6"/>
        <v/>
      </c>
      <c r="G214" s="19"/>
      <c r="H214" s="19"/>
      <c r="I214" s="19"/>
      <c r="J214" s="19"/>
      <c r="K214" s="19"/>
      <c r="L214" s="19"/>
    </row>
    <row r="215" spans="1:12" ht="16.5" customHeight="1">
      <c r="A215" s="19">
        <v>214</v>
      </c>
      <c r="B215" s="19" t="str">
        <f>IF(法术书!AR16="","",法术书!AR16)</f>
        <v/>
      </c>
      <c r="C215" s="19" t="str">
        <f>IFERROR(VLOOKUP(B215,法术大全!$A:$W,5,FALSE),"")</f>
        <v/>
      </c>
      <c r="D215" s="284" t="str">
        <f>IFERROR(VLOOKUP(B215,法术大全!$A:$W,4,FALSE),"")</f>
        <v/>
      </c>
      <c r="E215" s="19">
        <v>214</v>
      </c>
      <c r="F215" s="285" t="str">
        <f t="shared" si="6"/>
        <v/>
      </c>
      <c r="G215" s="19"/>
      <c r="H215" s="19"/>
      <c r="I215" s="19"/>
      <c r="J215" s="19"/>
      <c r="K215" s="19"/>
      <c r="L215" s="19"/>
    </row>
    <row r="216" spans="1:12" ht="16.5" customHeight="1">
      <c r="A216" s="19">
        <v>215</v>
      </c>
      <c r="B216" s="19" t="str">
        <f>IF(法术书!AR17="","",法术书!AR17)</f>
        <v/>
      </c>
      <c r="C216" s="19" t="str">
        <f>IFERROR(VLOOKUP(B216,法术大全!$A:$W,5,FALSE),"")</f>
        <v/>
      </c>
      <c r="D216" s="284" t="str">
        <f>IFERROR(VLOOKUP(B216,法术大全!$A:$W,4,FALSE),"")</f>
        <v/>
      </c>
      <c r="E216" s="19">
        <v>215</v>
      </c>
      <c r="F216" s="285" t="str">
        <f t="shared" si="6"/>
        <v/>
      </c>
      <c r="G216" s="19"/>
      <c r="H216" s="19"/>
      <c r="I216" s="19"/>
      <c r="J216" s="19"/>
      <c r="K216" s="19"/>
      <c r="L216" s="19"/>
    </row>
    <row r="217" spans="1:12" ht="16.5" customHeight="1">
      <c r="A217" s="19">
        <v>216</v>
      </c>
      <c r="B217" s="19" t="str">
        <f>IF(法术书!AR18="","",法术书!AR18)</f>
        <v/>
      </c>
      <c r="C217" s="19" t="str">
        <f>IFERROR(VLOOKUP(B217,法术大全!$A:$W,5,FALSE),"")</f>
        <v/>
      </c>
      <c r="D217" s="284" t="str">
        <f>IFERROR(VLOOKUP(B217,法术大全!$A:$W,4,FALSE),"")</f>
        <v/>
      </c>
      <c r="E217" s="19">
        <v>216</v>
      </c>
      <c r="F217" s="285" t="str">
        <f t="shared" si="6"/>
        <v/>
      </c>
      <c r="G217" s="19"/>
      <c r="H217" s="19"/>
      <c r="I217" s="19"/>
      <c r="J217" s="19"/>
      <c r="K217" s="19"/>
      <c r="L217" s="19"/>
    </row>
    <row r="218" spans="1:12" ht="16.5" customHeight="1">
      <c r="A218" s="19">
        <v>217</v>
      </c>
      <c r="B218" s="19" t="str">
        <f>IF(法术书!AR19="","",法术书!AR19)</f>
        <v/>
      </c>
      <c r="C218" s="19" t="str">
        <f>IFERROR(VLOOKUP(B218,法术大全!$A:$W,5,FALSE),"")</f>
        <v/>
      </c>
      <c r="D218" s="284" t="str">
        <f>IFERROR(VLOOKUP(B218,法术大全!$A:$W,4,FALSE),"")</f>
        <v/>
      </c>
      <c r="E218" s="19">
        <v>217</v>
      </c>
      <c r="F218" s="285" t="str">
        <f t="shared" si="6"/>
        <v/>
      </c>
      <c r="G218" s="19"/>
      <c r="H218" s="19"/>
      <c r="I218" s="19"/>
      <c r="J218" s="19"/>
      <c r="K218" s="19"/>
      <c r="L218" s="19"/>
    </row>
    <row r="219" spans="1:12" ht="16.5" customHeight="1">
      <c r="A219" s="19">
        <v>218</v>
      </c>
      <c r="B219" s="19" t="str">
        <f>IF(法术书!AR20="","",法术书!AR20)</f>
        <v/>
      </c>
      <c r="C219" s="19" t="str">
        <f>IFERROR(VLOOKUP(B219,法术大全!$A:$W,5,FALSE),"")</f>
        <v/>
      </c>
      <c r="D219" s="284" t="str">
        <f>IFERROR(VLOOKUP(B219,法术大全!$A:$W,4,FALSE),"")</f>
        <v/>
      </c>
      <c r="E219" s="19">
        <v>218</v>
      </c>
      <c r="F219" s="285" t="str">
        <f t="shared" si="6"/>
        <v/>
      </c>
      <c r="G219" s="19"/>
      <c r="H219" s="19"/>
      <c r="I219" s="19"/>
      <c r="J219" s="19"/>
      <c r="K219" s="19"/>
      <c r="L219" s="19"/>
    </row>
    <row r="220" spans="1:12" ht="16.5" customHeight="1">
      <c r="A220" s="19">
        <v>219</v>
      </c>
      <c r="B220" s="19" t="str">
        <f>IF(法术书!AR21="","",法术书!AR21)</f>
        <v/>
      </c>
      <c r="C220" s="19" t="str">
        <f>IFERROR(VLOOKUP(B220,法术大全!$A:$W,5,FALSE),"")</f>
        <v/>
      </c>
      <c r="D220" s="284" t="str">
        <f>IFERROR(VLOOKUP(B220,法术大全!$A:$W,4,FALSE),"")</f>
        <v/>
      </c>
      <c r="E220" s="19">
        <v>219</v>
      </c>
      <c r="F220" s="285" t="str">
        <f t="shared" si="6"/>
        <v/>
      </c>
      <c r="G220" s="19"/>
      <c r="H220" s="19"/>
      <c r="I220" s="19"/>
      <c r="J220" s="19"/>
      <c r="K220" s="19"/>
      <c r="L220" s="19"/>
    </row>
    <row r="221" spans="1:12" ht="16.5" customHeight="1">
      <c r="A221" s="19">
        <v>220</v>
      </c>
      <c r="B221" s="19" t="str">
        <f>IF(法术书!AR22="","",法术书!AR22)</f>
        <v/>
      </c>
      <c r="C221" s="19" t="str">
        <f>IFERROR(VLOOKUP(B221,法术大全!$A:$W,5,FALSE),"")</f>
        <v/>
      </c>
      <c r="D221" s="284" t="str">
        <f>IFERROR(VLOOKUP(B221,法术大全!$A:$W,4,FALSE),"")</f>
        <v/>
      </c>
      <c r="E221" s="19">
        <v>220</v>
      </c>
      <c r="F221" s="285" t="str">
        <f t="shared" si="6"/>
        <v/>
      </c>
      <c r="G221" s="19"/>
      <c r="H221" s="19"/>
      <c r="I221" s="19"/>
      <c r="J221" s="19"/>
      <c r="K221" s="19"/>
      <c r="L221" s="19"/>
    </row>
    <row r="222" spans="1:12" ht="16.5" customHeight="1">
      <c r="A222" s="19">
        <v>221</v>
      </c>
      <c r="B222" s="19" t="str">
        <f>IF(法术书!AR23="","",法术书!AR23)</f>
        <v/>
      </c>
      <c r="C222" s="19" t="str">
        <f>IFERROR(VLOOKUP(B222,法术大全!$A:$W,5,FALSE),"")</f>
        <v/>
      </c>
      <c r="D222" s="284" t="str">
        <f>IFERROR(VLOOKUP(B222,法术大全!$A:$W,4,FALSE),"")</f>
        <v/>
      </c>
      <c r="E222" s="19">
        <v>221</v>
      </c>
      <c r="F222" s="285" t="str">
        <f t="shared" si="6"/>
        <v/>
      </c>
      <c r="G222" s="19"/>
      <c r="H222" s="19"/>
      <c r="I222" s="19"/>
      <c r="J222" s="19"/>
      <c r="K222" s="19"/>
      <c r="L222" s="19"/>
    </row>
    <row r="223" spans="1:12" ht="16.5" customHeight="1">
      <c r="A223" s="19">
        <v>222</v>
      </c>
      <c r="B223" s="19" t="str">
        <f>IF(法术书!AR24="","",法术书!AR24)</f>
        <v/>
      </c>
      <c r="C223" s="19" t="str">
        <f>IFERROR(VLOOKUP(B223,法术大全!$A:$W,5,FALSE),"")</f>
        <v/>
      </c>
      <c r="D223" s="284" t="str">
        <f>IFERROR(VLOOKUP(B223,法术大全!$A:$W,4,FALSE),"")</f>
        <v/>
      </c>
      <c r="E223" s="19">
        <v>222</v>
      </c>
      <c r="F223" s="285" t="str">
        <f t="shared" si="6"/>
        <v/>
      </c>
      <c r="G223" s="19"/>
      <c r="H223" s="19"/>
      <c r="I223" s="19"/>
      <c r="J223" s="19"/>
      <c r="K223" s="19"/>
      <c r="L223" s="19"/>
    </row>
    <row r="224" spans="1:12" ht="16.5" customHeight="1">
      <c r="A224" s="19">
        <v>223</v>
      </c>
      <c r="B224" s="19" t="str">
        <f>IF(法术书!AR25="","",法术书!AR25)</f>
        <v/>
      </c>
      <c r="C224" s="19" t="str">
        <f>IFERROR(VLOOKUP(B224,法术大全!$A:$W,5,FALSE),"")</f>
        <v/>
      </c>
      <c r="D224" s="284" t="str">
        <f>IFERROR(VLOOKUP(B224,法术大全!$A:$W,4,FALSE),"")</f>
        <v/>
      </c>
      <c r="E224" s="19">
        <v>223</v>
      </c>
      <c r="F224" s="285" t="str">
        <f t="shared" si="6"/>
        <v/>
      </c>
      <c r="G224" s="19"/>
      <c r="H224" s="19"/>
      <c r="I224" s="19"/>
      <c r="J224" s="19"/>
      <c r="K224" s="19"/>
      <c r="L224" s="19"/>
    </row>
    <row r="225" spans="1:12" ht="16.5" customHeight="1">
      <c r="A225" s="19">
        <v>224</v>
      </c>
      <c r="B225" s="19" t="str">
        <f>IF(法术书!AR26="","",法术书!AR26)</f>
        <v/>
      </c>
      <c r="C225" s="19" t="str">
        <f>IFERROR(VLOOKUP(B225,法术大全!$A:$W,5,FALSE),"")</f>
        <v/>
      </c>
      <c r="D225" s="284" t="str">
        <f>IFERROR(VLOOKUP(B225,法术大全!$A:$W,4,FALSE),"")</f>
        <v/>
      </c>
      <c r="E225" s="19">
        <v>224</v>
      </c>
      <c r="F225" s="285" t="str">
        <f t="shared" si="6"/>
        <v/>
      </c>
      <c r="G225" s="19"/>
      <c r="H225" s="19"/>
      <c r="I225" s="19"/>
      <c r="J225" s="19"/>
      <c r="K225" s="19"/>
      <c r="L225" s="19"/>
    </row>
    <row r="226" spans="1:12" ht="16.5" customHeight="1">
      <c r="A226" s="19">
        <v>225</v>
      </c>
      <c r="B226" s="19" t="str">
        <f>IF(法术书!AR27="","",法术书!AR27)</f>
        <v/>
      </c>
      <c r="C226" s="19" t="str">
        <f>IFERROR(VLOOKUP(B226,法术大全!$A:$W,5,FALSE),"")</f>
        <v/>
      </c>
      <c r="D226" s="284" t="str">
        <f>IFERROR(VLOOKUP(B226,法术大全!$A:$W,4,FALSE),"")</f>
        <v/>
      </c>
      <c r="E226" s="19">
        <v>225</v>
      </c>
      <c r="F226" s="285" t="str">
        <f t="shared" si="6"/>
        <v/>
      </c>
      <c r="G226" s="19"/>
      <c r="H226" s="19"/>
      <c r="I226" s="19"/>
      <c r="J226" s="19"/>
      <c r="K226" s="19"/>
      <c r="L226" s="19"/>
    </row>
    <row r="227" spans="1:12" ht="16.5" customHeight="1">
      <c r="A227" s="19">
        <v>226</v>
      </c>
      <c r="B227" s="19" t="str">
        <f>IF(法术书!AR28="","",法术书!AR28)</f>
        <v/>
      </c>
      <c r="C227" s="19" t="str">
        <f>IFERROR(VLOOKUP(B227,法术大全!$A:$W,5,FALSE),"")</f>
        <v/>
      </c>
      <c r="D227" s="284" t="str">
        <f>IFERROR(VLOOKUP(B227,法术大全!$A:$W,4,FALSE),"")</f>
        <v/>
      </c>
      <c r="E227" s="19">
        <v>226</v>
      </c>
      <c r="F227" s="285" t="str">
        <f t="shared" si="6"/>
        <v/>
      </c>
      <c r="G227" s="19"/>
      <c r="H227" s="19"/>
      <c r="I227" s="19"/>
      <c r="J227" s="19"/>
      <c r="K227" s="19"/>
      <c r="L227" s="19"/>
    </row>
    <row r="228" spans="1:12" ht="16.5" customHeight="1">
      <c r="A228" s="19">
        <v>227</v>
      </c>
      <c r="B228" s="19" t="str">
        <f>IF(法术书!AR29="","",法术书!AR29)</f>
        <v/>
      </c>
      <c r="C228" s="19" t="str">
        <f>IFERROR(VLOOKUP(B228,法术大全!$A:$W,5,FALSE),"")</f>
        <v/>
      </c>
      <c r="D228" s="284" t="str">
        <f>IFERROR(VLOOKUP(B228,法术大全!$A:$W,4,FALSE),"")</f>
        <v/>
      </c>
      <c r="E228" s="19">
        <v>227</v>
      </c>
      <c r="F228" s="285" t="str">
        <f t="shared" si="6"/>
        <v/>
      </c>
      <c r="G228" s="19"/>
      <c r="H228" s="19"/>
      <c r="I228" s="19"/>
      <c r="J228" s="19"/>
      <c r="K228" s="19"/>
      <c r="L228" s="19"/>
    </row>
    <row r="229" spans="1:12" ht="16.5" customHeight="1">
      <c r="A229" s="19">
        <v>228</v>
      </c>
      <c r="B229" s="19" t="str">
        <f>IF(法术书!AR30="","",法术书!AR30)</f>
        <v/>
      </c>
      <c r="C229" s="19" t="str">
        <f>IFERROR(VLOOKUP(B229,法术大全!$A:$W,5,FALSE),"")</f>
        <v/>
      </c>
      <c r="D229" s="284" t="str">
        <f>IFERROR(VLOOKUP(B229,法术大全!$A:$W,4,FALSE),"")</f>
        <v/>
      </c>
      <c r="E229" s="19">
        <v>228</v>
      </c>
      <c r="F229" s="285" t="str">
        <f t="shared" si="6"/>
        <v/>
      </c>
      <c r="G229" s="19"/>
      <c r="H229" s="19"/>
      <c r="I229" s="19"/>
      <c r="J229" s="19"/>
      <c r="K229" s="19"/>
      <c r="L229" s="19"/>
    </row>
    <row r="230" spans="1:12" ht="16.5" customHeight="1">
      <c r="A230" s="19">
        <v>229</v>
      </c>
      <c r="B230" s="19" t="str">
        <f>IF(法术书!AR31="","",法术书!AR31)</f>
        <v/>
      </c>
      <c r="C230" s="19" t="str">
        <f>IFERROR(VLOOKUP(B230,法术大全!$A:$W,5,FALSE),"")</f>
        <v/>
      </c>
      <c r="D230" s="284" t="str">
        <f>IFERROR(VLOOKUP(B230,法术大全!$A:$W,4,FALSE),"")</f>
        <v/>
      </c>
      <c r="E230" s="19">
        <v>229</v>
      </c>
      <c r="F230" s="285" t="str">
        <f t="shared" si="6"/>
        <v/>
      </c>
      <c r="G230" s="19"/>
      <c r="H230" s="19"/>
      <c r="I230" s="19"/>
      <c r="J230" s="19"/>
      <c r="K230" s="19"/>
      <c r="L230" s="19"/>
    </row>
    <row r="231" spans="1:12" ht="16.5" customHeight="1">
      <c r="A231" s="19">
        <v>230</v>
      </c>
      <c r="B231" s="19" t="str">
        <f>IF(法术书!AR32="","",法术书!AR32)</f>
        <v/>
      </c>
      <c r="C231" s="19" t="str">
        <f>IFERROR(VLOOKUP(B231,法术大全!$A:$W,5,FALSE),"")</f>
        <v/>
      </c>
      <c r="D231" s="284" t="str">
        <f>IFERROR(VLOOKUP(B231,法术大全!$A:$W,4,FALSE),"")</f>
        <v/>
      </c>
      <c r="E231" s="19">
        <v>230</v>
      </c>
      <c r="F231" s="285" t="str">
        <f t="shared" si="6"/>
        <v/>
      </c>
      <c r="G231" s="19"/>
      <c r="H231" s="19"/>
      <c r="I231" s="19"/>
      <c r="J231" s="19"/>
      <c r="K231" s="19"/>
      <c r="L231" s="19"/>
    </row>
    <row r="232" spans="1:12" ht="16.5" customHeight="1">
      <c r="A232" s="19">
        <v>231</v>
      </c>
      <c r="B232" s="19" t="str">
        <f>IF(法术书!AR33="","",法术书!AR33)</f>
        <v/>
      </c>
      <c r="C232" s="19" t="str">
        <f>IFERROR(VLOOKUP(B232,法术大全!$A:$W,5,FALSE),"")</f>
        <v/>
      </c>
      <c r="D232" s="284" t="str">
        <f>IFERROR(VLOOKUP(B232,法术大全!$A:$W,4,FALSE),"")</f>
        <v/>
      </c>
      <c r="E232" s="19">
        <v>231</v>
      </c>
      <c r="F232" s="285" t="str">
        <f t="shared" si="6"/>
        <v/>
      </c>
      <c r="G232" s="19"/>
      <c r="H232" s="19"/>
      <c r="I232" s="19"/>
      <c r="J232" s="19"/>
      <c r="K232" s="19"/>
      <c r="L232" s="19"/>
    </row>
    <row r="233" spans="1:12" ht="16.5" customHeight="1">
      <c r="A233" s="19">
        <v>232</v>
      </c>
      <c r="B233" s="19" t="str">
        <f>IF(法术书!AR34="","",法术书!AR34)</f>
        <v/>
      </c>
      <c r="C233" s="19" t="str">
        <f>IFERROR(VLOOKUP(B233,法术大全!$A:$W,5,FALSE),"")</f>
        <v/>
      </c>
      <c r="D233" s="284" t="str">
        <f>IFERROR(VLOOKUP(B233,法术大全!$A:$W,4,FALSE),"")</f>
        <v/>
      </c>
      <c r="E233" s="19">
        <v>232</v>
      </c>
      <c r="F233" s="285" t="str">
        <f t="shared" si="6"/>
        <v/>
      </c>
      <c r="G233" s="19"/>
      <c r="H233" s="19"/>
      <c r="I233" s="19"/>
      <c r="J233" s="19"/>
      <c r="K233" s="19"/>
      <c r="L233" s="19"/>
    </row>
    <row r="234" spans="1:12" ht="16.5" customHeight="1">
      <c r="A234" s="19">
        <v>233</v>
      </c>
      <c r="B234" s="19" t="str">
        <f>IF(法术书!AR35="","",法术书!AR35)</f>
        <v/>
      </c>
      <c r="C234" s="19" t="str">
        <f>IFERROR(VLOOKUP(B234,法术大全!$A:$W,5,FALSE),"")</f>
        <v/>
      </c>
      <c r="D234" s="284" t="str">
        <f>IFERROR(VLOOKUP(B234,法术大全!$A:$W,4,FALSE),"")</f>
        <v/>
      </c>
      <c r="E234" s="19">
        <v>233</v>
      </c>
      <c r="F234" s="285" t="str">
        <f t="shared" si="6"/>
        <v/>
      </c>
      <c r="G234" s="19"/>
      <c r="H234" s="19"/>
      <c r="I234" s="19"/>
      <c r="J234" s="19"/>
      <c r="K234" s="19"/>
      <c r="L234" s="19"/>
    </row>
    <row r="235" spans="1:12" ht="16.5" customHeight="1">
      <c r="A235" s="19">
        <v>234</v>
      </c>
      <c r="B235" s="19" t="str">
        <f>IF(法术书!AR36="","",法术书!AR36)</f>
        <v/>
      </c>
      <c r="C235" s="19" t="str">
        <f>IFERROR(VLOOKUP(B235,法术大全!$A:$W,5,FALSE),"")</f>
        <v/>
      </c>
      <c r="D235" s="284" t="str">
        <f>IFERROR(VLOOKUP(B235,法术大全!$A:$W,4,FALSE),"")</f>
        <v/>
      </c>
      <c r="E235" s="19">
        <v>234</v>
      </c>
      <c r="F235" s="285" t="str">
        <f t="shared" si="6"/>
        <v/>
      </c>
      <c r="G235" s="19"/>
      <c r="H235" s="19"/>
      <c r="I235" s="19"/>
      <c r="J235" s="19"/>
      <c r="K235" s="19"/>
      <c r="L235" s="19"/>
    </row>
    <row r="236" spans="1:12" ht="16.5" customHeight="1">
      <c r="A236" s="19">
        <v>235</v>
      </c>
      <c r="B236" s="19" t="str">
        <f>IF(法术书!AR37="","",法术书!AR37)</f>
        <v/>
      </c>
      <c r="C236" s="19" t="str">
        <f>IFERROR(VLOOKUP(B236,法术大全!$A:$W,5,FALSE),"")</f>
        <v/>
      </c>
      <c r="D236" s="284" t="str">
        <f>IFERROR(VLOOKUP(B236,法术大全!$A:$W,4,FALSE),"")</f>
        <v/>
      </c>
      <c r="E236" s="19">
        <v>235</v>
      </c>
      <c r="F236" s="285" t="str">
        <f t="shared" si="6"/>
        <v/>
      </c>
      <c r="G236" s="19"/>
      <c r="H236" s="19"/>
      <c r="I236" s="19"/>
      <c r="J236" s="19"/>
      <c r="K236" s="19"/>
      <c r="L236" s="19"/>
    </row>
    <row r="237" spans="1:12" ht="16.5" customHeight="1">
      <c r="A237" s="19">
        <v>236</v>
      </c>
      <c r="B237" s="19" t="str">
        <f>IF(法术书!AR38="","",法术书!AR38)</f>
        <v/>
      </c>
      <c r="C237" s="19" t="str">
        <f>IFERROR(VLOOKUP(B237,法术大全!$A:$W,5,FALSE),"")</f>
        <v/>
      </c>
      <c r="D237" s="284" t="str">
        <f>IFERROR(VLOOKUP(B237,法术大全!$A:$W,4,FALSE),"")</f>
        <v/>
      </c>
      <c r="E237" s="19">
        <v>236</v>
      </c>
      <c r="F237" s="285" t="str">
        <f t="shared" si="6"/>
        <v/>
      </c>
      <c r="G237" s="19"/>
      <c r="H237" s="19"/>
      <c r="I237" s="19"/>
      <c r="J237" s="19"/>
      <c r="K237" s="19"/>
      <c r="L237" s="19"/>
    </row>
    <row r="238" spans="1:12" ht="16.5" customHeight="1">
      <c r="A238" s="19">
        <v>237</v>
      </c>
      <c r="B238" s="19" t="str">
        <f>IF(法术书!AR39="","",法术书!AR39)</f>
        <v/>
      </c>
      <c r="C238" s="19" t="str">
        <f>IFERROR(VLOOKUP(B238,法术大全!$A:$W,5,FALSE),"")</f>
        <v/>
      </c>
      <c r="D238" s="284" t="str">
        <f>IFERROR(VLOOKUP(B238,法术大全!$A:$W,4,FALSE),"")</f>
        <v/>
      </c>
      <c r="E238" s="19">
        <v>237</v>
      </c>
      <c r="F238" s="285" t="str">
        <f t="shared" si="6"/>
        <v/>
      </c>
      <c r="G238" s="19"/>
      <c r="H238" s="19"/>
      <c r="I238" s="19"/>
      <c r="J238" s="19"/>
      <c r="K238" s="19"/>
      <c r="L238" s="19"/>
    </row>
    <row r="239" spans="1:12" ht="16.5" customHeight="1">
      <c r="A239" s="19">
        <v>238</v>
      </c>
      <c r="B239" s="19" t="str">
        <f>IF(法术书!AR40="","",法术书!AR40)</f>
        <v/>
      </c>
      <c r="C239" s="19" t="str">
        <f>IFERROR(VLOOKUP(B239,法术大全!$A:$W,5,FALSE),"")</f>
        <v/>
      </c>
      <c r="D239" s="284" t="str">
        <f>IFERROR(VLOOKUP(B239,法术大全!$A:$W,4,FALSE),"")</f>
        <v/>
      </c>
      <c r="E239" s="19">
        <v>238</v>
      </c>
      <c r="F239" s="285" t="str">
        <f t="shared" si="6"/>
        <v/>
      </c>
      <c r="G239" s="19"/>
      <c r="H239" s="19"/>
      <c r="I239" s="19"/>
      <c r="J239" s="19"/>
      <c r="K239" s="19"/>
      <c r="L239" s="19"/>
    </row>
    <row r="240" spans="1:12" ht="16.5" customHeight="1">
      <c r="A240" s="19">
        <v>239</v>
      </c>
      <c r="B240" s="19" t="str">
        <f>IF(法术书!AR41="","",法术书!AR41)</f>
        <v/>
      </c>
      <c r="C240" s="19" t="str">
        <f>IFERROR(VLOOKUP(B240,法术大全!$A:$W,5,FALSE),"")</f>
        <v/>
      </c>
      <c r="D240" s="284" t="str">
        <f>IFERROR(VLOOKUP(B240,法术大全!$A:$W,4,FALSE),"")</f>
        <v/>
      </c>
      <c r="E240" s="19">
        <v>239</v>
      </c>
      <c r="F240" s="285" t="str">
        <f t="shared" si="6"/>
        <v/>
      </c>
      <c r="G240" s="19"/>
      <c r="H240" s="19"/>
      <c r="I240" s="19"/>
      <c r="J240" s="19"/>
      <c r="K240" s="19"/>
      <c r="L240" s="19"/>
    </row>
    <row r="241" spans="1:12" ht="16.5" customHeight="1">
      <c r="A241" s="19">
        <v>240</v>
      </c>
      <c r="B241" s="19" t="str">
        <f>IF(法术书!AR42="","",法术书!AR42)</f>
        <v/>
      </c>
      <c r="C241" s="19" t="str">
        <f>IFERROR(VLOOKUP(B241,法术大全!$A:$W,5,FALSE),"")</f>
        <v/>
      </c>
      <c r="D241" s="284" t="str">
        <f>IFERROR(VLOOKUP(B241,法术大全!$A:$W,4,FALSE),"")</f>
        <v/>
      </c>
      <c r="E241" s="19">
        <v>240</v>
      </c>
      <c r="F241" s="285" t="str">
        <f t="shared" si="6"/>
        <v/>
      </c>
      <c r="G241" s="19"/>
      <c r="H241" s="19"/>
      <c r="I241" s="19"/>
      <c r="J241" s="19"/>
      <c r="K241" s="19"/>
      <c r="L241" s="19"/>
    </row>
    <row r="242" spans="1:12" ht="16.5" customHeight="1">
      <c r="A242" s="19">
        <v>241</v>
      </c>
      <c r="B242" s="19" t="str">
        <f>IF(法术书!AR43="","",法术书!AR43)</f>
        <v/>
      </c>
      <c r="C242" s="19" t="str">
        <f>IFERROR(VLOOKUP(B242,法术大全!$A:$W,5,FALSE),"")</f>
        <v/>
      </c>
      <c r="D242" s="284" t="str">
        <f>IFERROR(VLOOKUP(B242,法术大全!$A:$W,4,FALSE),"")</f>
        <v/>
      </c>
      <c r="E242" s="19">
        <v>241</v>
      </c>
      <c r="F242" s="285" t="str">
        <f t="shared" si="6"/>
        <v/>
      </c>
      <c r="G242" s="19"/>
      <c r="H242" s="19"/>
      <c r="I242" s="19"/>
      <c r="J242" s="19"/>
      <c r="K242" s="19"/>
      <c r="L242" s="19"/>
    </row>
    <row r="243" spans="1:12" ht="16.5" customHeight="1">
      <c r="A243" s="19">
        <v>242</v>
      </c>
      <c r="B243" s="19" t="str">
        <f>IF(法术书!AR44="","",法术书!AR44)</f>
        <v/>
      </c>
      <c r="C243" s="19" t="str">
        <f>IFERROR(VLOOKUP(B243,法术大全!$A:$W,5,FALSE),"")</f>
        <v/>
      </c>
      <c r="D243" s="284" t="str">
        <f>IFERROR(VLOOKUP(B243,法术大全!$A:$W,4,FALSE),"")</f>
        <v/>
      </c>
      <c r="E243" s="19">
        <v>242</v>
      </c>
      <c r="F243" s="285" t="str">
        <f t="shared" si="6"/>
        <v/>
      </c>
      <c r="G243" s="19"/>
      <c r="H243" s="19"/>
      <c r="I243" s="19"/>
      <c r="J243" s="19"/>
      <c r="K243" s="19"/>
      <c r="L243" s="19"/>
    </row>
    <row r="244" spans="1:12" ht="16.5" customHeight="1">
      <c r="A244" s="19">
        <v>243</v>
      </c>
      <c r="B244" s="19" t="str">
        <f>IF(法术书!AR45="","",法术书!AR45)</f>
        <v/>
      </c>
      <c r="C244" s="19" t="str">
        <f>IFERROR(VLOOKUP(B244,法术大全!$A:$W,5,FALSE),"")</f>
        <v/>
      </c>
      <c r="D244" s="284" t="str">
        <f>IFERROR(VLOOKUP(B244,法术大全!$A:$W,4,FALSE),"")</f>
        <v/>
      </c>
      <c r="E244" s="19">
        <v>243</v>
      </c>
      <c r="F244" s="285" t="str">
        <f t="shared" si="6"/>
        <v/>
      </c>
      <c r="G244" s="19"/>
      <c r="H244" s="19"/>
      <c r="I244" s="19"/>
      <c r="J244" s="19"/>
      <c r="K244" s="19"/>
      <c r="L244" s="19"/>
    </row>
    <row r="245" spans="1:12" ht="16.5" customHeight="1">
      <c r="A245" s="19">
        <v>244</v>
      </c>
      <c r="B245" s="19" t="str">
        <f>IF(法术书!AR46="","",法术书!AR46)</f>
        <v/>
      </c>
      <c r="C245" s="19" t="str">
        <f>IFERROR(VLOOKUP(B245,法术大全!$A:$W,5,FALSE),"")</f>
        <v/>
      </c>
      <c r="D245" s="284" t="str">
        <f>IFERROR(VLOOKUP(B245,法术大全!$A:$W,4,FALSE),"")</f>
        <v/>
      </c>
      <c r="E245" s="19">
        <v>244</v>
      </c>
      <c r="F245" s="285" t="str">
        <f t="shared" si="6"/>
        <v/>
      </c>
      <c r="G245" s="19"/>
      <c r="H245" s="19"/>
      <c r="I245" s="19"/>
      <c r="J245" s="19"/>
      <c r="K245" s="19"/>
      <c r="L245" s="19"/>
    </row>
    <row r="246" spans="1:12" ht="16.5" customHeight="1">
      <c r="A246" s="19">
        <v>245</v>
      </c>
      <c r="B246" s="19" t="str">
        <f>IF(法术书!AR47="","",法术书!AR47)</f>
        <v/>
      </c>
      <c r="C246" s="19" t="str">
        <f>IFERROR(VLOOKUP(B246,法术大全!$A:$W,5,FALSE),"")</f>
        <v/>
      </c>
      <c r="D246" s="284" t="str">
        <f>IFERROR(VLOOKUP(B246,法术大全!$A:$W,4,FALSE),"")</f>
        <v/>
      </c>
      <c r="E246" s="19">
        <v>245</v>
      </c>
      <c r="F246" s="285" t="str">
        <f t="shared" si="6"/>
        <v/>
      </c>
      <c r="G246" s="19"/>
      <c r="H246" s="19"/>
      <c r="I246" s="19"/>
      <c r="J246" s="19"/>
      <c r="K246" s="19"/>
      <c r="L246" s="19"/>
    </row>
    <row r="247" spans="1:12" ht="16.5" customHeight="1">
      <c r="A247" s="19">
        <v>246</v>
      </c>
      <c r="B247" s="19" t="str">
        <f>IF(法术书!AR48="","",法术书!AR48)</f>
        <v/>
      </c>
      <c r="C247" s="19" t="str">
        <f>IFERROR(VLOOKUP(B247,法术大全!$A:$W,5,FALSE),"")</f>
        <v/>
      </c>
      <c r="D247" s="284" t="str">
        <f>IFERROR(VLOOKUP(B247,法术大全!$A:$W,4,FALSE),"")</f>
        <v/>
      </c>
      <c r="E247" s="19">
        <v>246</v>
      </c>
      <c r="F247" s="285" t="str">
        <f t="shared" si="6"/>
        <v/>
      </c>
      <c r="G247" s="19"/>
      <c r="H247" s="19"/>
      <c r="I247" s="19"/>
      <c r="J247" s="19"/>
      <c r="K247" s="19"/>
      <c r="L247" s="19"/>
    </row>
    <row r="248" spans="1:12" ht="16.5" customHeight="1">
      <c r="A248" s="19">
        <v>247</v>
      </c>
      <c r="B248" s="19" t="str">
        <f>IF(法术书!AR49="","",法术书!AR49)</f>
        <v/>
      </c>
      <c r="C248" s="19" t="str">
        <f>IFERROR(VLOOKUP(B248,法术大全!$A:$W,5,FALSE),"")</f>
        <v/>
      </c>
      <c r="D248" s="284" t="str">
        <f>IFERROR(VLOOKUP(B248,法术大全!$A:$W,4,FALSE),"")</f>
        <v/>
      </c>
      <c r="E248" s="19">
        <v>247</v>
      </c>
      <c r="F248" s="285" t="str">
        <f t="shared" si="6"/>
        <v/>
      </c>
      <c r="G248" s="19"/>
      <c r="H248" s="19"/>
      <c r="I248" s="19"/>
      <c r="J248" s="19"/>
      <c r="K248" s="19"/>
      <c r="L248" s="19"/>
    </row>
    <row r="249" spans="1:12" ht="16.5" customHeight="1">
      <c r="A249" s="19">
        <v>248</v>
      </c>
      <c r="B249" s="19" t="str">
        <f>IF(法术书!AR50="","",法术书!AR50)</f>
        <v/>
      </c>
      <c r="C249" s="19" t="str">
        <f>IFERROR(VLOOKUP(B249,法术大全!$A:$W,5,FALSE),"")</f>
        <v/>
      </c>
      <c r="D249" s="284" t="str">
        <f>IFERROR(VLOOKUP(B249,法术大全!$A:$W,4,FALSE),"")</f>
        <v/>
      </c>
      <c r="E249" s="19">
        <v>248</v>
      </c>
      <c r="F249" s="285" t="str">
        <f t="shared" si="6"/>
        <v/>
      </c>
      <c r="G249" s="19"/>
      <c r="H249" s="19"/>
      <c r="I249" s="19"/>
      <c r="J249" s="19"/>
      <c r="K249" s="19"/>
      <c r="L249" s="19"/>
    </row>
    <row r="250" spans="1:12" ht="16.5" customHeight="1">
      <c r="A250" s="19">
        <v>249</v>
      </c>
      <c r="B250" s="19" t="str">
        <f>IF(法术书!AR51="","",法术书!AR51)</f>
        <v/>
      </c>
      <c r="C250" s="19" t="str">
        <f>IFERROR(VLOOKUP(B250,法术大全!$A:$W,5,FALSE),"")</f>
        <v/>
      </c>
      <c r="D250" s="284" t="str">
        <f>IFERROR(VLOOKUP(B250,法术大全!$A:$W,4,FALSE),"")</f>
        <v/>
      </c>
      <c r="E250" s="19">
        <v>249</v>
      </c>
      <c r="F250" s="285" t="str">
        <f t="shared" si="6"/>
        <v/>
      </c>
      <c r="G250" s="19"/>
      <c r="H250" s="19"/>
      <c r="I250" s="19"/>
      <c r="J250" s="19"/>
      <c r="K250" s="19"/>
      <c r="L250" s="19"/>
    </row>
    <row r="251" spans="1:12" ht="16.5" customHeight="1">
      <c r="A251" s="19">
        <v>250</v>
      </c>
      <c r="B251" s="19" t="str">
        <f>IF(法术书!AR52="","",法术书!AR52)</f>
        <v/>
      </c>
      <c r="C251" s="19" t="str">
        <f>IFERROR(VLOOKUP(B251,法术大全!$A:$W,5,FALSE),"")</f>
        <v/>
      </c>
      <c r="D251" s="284" t="str">
        <f>IFERROR(VLOOKUP(B251,法术大全!$A:$W,4,FALSE),"")</f>
        <v/>
      </c>
      <c r="E251" s="19">
        <v>250</v>
      </c>
      <c r="F251" s="285" t="str">
        <f t="shared" si="6"/>
        <v/>
      </c>
      <c r="G251" s="19"/>
      <c r="H251" s="19"/>
      <c r="I251" s="19"/>
      <c r="J251" s="19"/>
      <c r="K251" s="19"/>
      <c r="L251" s="19"/>
    </row>
    <row r="252" spans="1:12" ht="16.5" customHeight="1">
      <c r="A252" s="19">
        <v>251</v>
      </c>
      <c r="B252" s="19" t="str">
        <f>IF(法术书!AW3="","",法术书!AW3)</f>
        <v/>
      </c>
      <c r="C252" s="19" t="str">
        <f>IFERROR(VLOOKUP(B252,法术大全!$A:$W,5,FALSE),"")</f>
        <v/>
      </c>
      <c r="D252" s="284" t="str">
        <f>IFERROR(VLOOKUP(B252,法术大全!$A:$W,4,FALSE),"")</f>
        <v/>
      </c>
      <c r="E252" s="19">
        <v>251</v>
      </c>
      <c r="F252" s="285" t="str">
        <f>B252</f>
        <v/>
      </c>
      <c r="G252" s="19"/>
      <c r="H252" s="19"/>
      <c r="I252" s="19"/>
      <c r="J252" s="19"/>
      <c r="K252" s="19"/>
      <c r="L252" s="19"/>
    </row>
    <row r="253" spans="1:12" ht="16.5" customHeight="1">
      <c r="A253" s="19">
        <v>252</v>
      </c>
      <c r="B253" s="19" t="str">
        <f>IF(法术书!AW4="","",法术书!AW4)</f>
        <v/>
      </c>
      <c r="C253" s="19" t="str">
        <f>IFERROR(VLOOKUP(B253,法术大全!$A:$W,5,FALSE),"")</f>
        <v/>
      </c>
      <c r="D253" s="284" t="str">
        <f>IFERROR(VLOOKUP(B253,法术大全!$A:$W,4,FALSE),"")</f>
        <v/>
      </c>
      <c r="E253" s="19">
        <v>252</v>
      </c>
      <c r="F253" s="285" t="str">
        <f>B253</f>
        <v/>
      </c>
      <c r="G253" s="19"/>
      <c r="H253" s="19"/>
      <c r="I253" s="19"/>
      <c r="J253" s="19"/>
      <c r="K253" s="19"/>
      <c r="L253" s="19"/>
    </row>
    <row r="254" spans="1:12" ht="16.5" customHeight="1">
      <c r="A254" s="19">
        <v>253</v>
      </c>
      <c r="B254" s="19" t="str">
        <f>IF(法术书!AW5="","",法术书!AW5)</f>
        <v/>
      </c>
      <c r="C254" s="19" t="str">
        <f>IFERROR(VLOOKUP(B254,法术大全!$A:$W,5,FALSE),"")</f>
        <v/>
      </c>
      <c r="D254" s="284" t="str">
        <f>IFERROR(VLOOKUP(B254,法术大全!$A:$W,4,FALSE),"")</f>
        <v/>
      </c>
      <c r="E254" s="19">
        <v>253</v>
      </c>
      <c r="F254" s="285" t="str">
        <f>B254</f>
        <v/>
      </c>
      <c r="G254" s="19"/>
      <c r="H254" s="19"/>
      <c r="I254" s="19"/>
      <c r="J254" s="19"/>
      <c r="K254" s="19"/>
      <c r="L254" s="19"/>
    </row>
    <row r="255" spans="1:12" ht="16.5" customHeight="1">
      <c r="A255" s="19">
        <v>254</v>
      </c>
      <c r="B255" s="19" t="str">
        <f>IF(法术书!AW6="","",法术书!AW6)</f>
        <v/>
      </c>
      <c r="C255" s="19" t="str">
        <f>IFERROR(VLOOKUP(B255,法术大全!$A:$W,5,FALSE),"")</f>
        <v/>
      </c>
      <c r="D255" s="284" t="str">
        <f>IFERROR(VLOOKUP(B255,法术大全!$A:$W,4,FALSE),"")</f>
        <v/>
      </c>
      <c r="E255" s="19">
        <v>254</v>
      </c>
      <c r="F255" s="285" t="str">
        <f>B255</f>
        <v/>
      </c>
      <c r="G255" s="19"/>
      <c r="H255" s="19"/>
      <c r="I255" s="19"/>
      <c r="J255" s="19"/>
      <c r="K255" s="19"/>
      <c r="L255" s="19"/>
    </row>
    <row r="256" spans="1:12" ht="16.5" customHeight="1">
      <c r="A256" s="19">
        <v>255</v>
      </c>
      <c r="B256" s="19" t="str">
        <f>IF(法术书!AW7="","",法术书!AW7)</f>
        <v/>
      </c>
      <c r="C256" s="19" t="str">
        <f>IFERROR(VLOOKUP(B256,法术大全!$A:$W,5,FALSE),"")</f>
        <v/>
      </c>
      <c r="D256" s="284" t="str">
        <f>IFERROR(VLOOKUP(B256,法术大全!$A:$W,4,FALSE),"")</f>
        <v/>
      </c>
      <c r="E256" s="19">
        <v>255</v>
      </c>
      <c r="F256" s="285" t="str">
        <f t="shared" ref="F256:F301" si="7">B256</f>
        <v/>
      </c>
      <c r="G256" s="19"/>
      <c r="H256" s="19"/>
      <c r="I256" s="19"/>
      <c r="J256" s="19"/>
      <c r="K256" s="19"/>
      <c r="L256" s="19"/>
    </row>
    <row r="257" spans="1:12" ht="16.5" customHeight="1">
      <c r="A257" s="19">
        <v>256</v>
      </c>
      <c r="B257" s="19" t="str">
        <f>IF(法术书!AW8="","",法术书!AW8)</f>
        <v/>
      </c>
      <c r="C257" s="19" t="str">
        <f>IFERROR(VLOOKUP(B257,法术大全!$A:$W,5,FALSE),"")</f>
        <v/>
      </c>
      <c r="D257" s="284" t="str">
        <f>IFERROR(VLOOKUP(B257,法术大全!$A:$W,4,FALSE),"")</f>
        <v/>
      </c>
      <c r="E257" s="19">
        <v>256</v>
      </c>
      <c r="F257" s="285" t="str">
        <f t="shared" si="7"/>
        <v/>
      </c>
      <c r="G257" s="19"/>
      <c r="H257" s="19"/>
      <c r="I257" s="19"/>
      <c r="J257" s="19"/>
      <c r="K257" s="19"/>
      <c r="L257" s="19"/>
    </row>
    <row r="258" spans="1:12" ht="16.5" customHeight="1">
      <c r="A258" s="19">
        <v>257</v>
      </c>
      <c r="B258" s="19" t="str">
        <f>IF(法术书!AW9="","",法术书!AW9)</f>
        <v/>
      </c>
      <c r="C258" s="19" t="str">
        <f>IFERROR(VLOOKUP(B258,法术大全!$A:$W,5,FALSE),"")</f>
        <v/>
      </c>
      <c r="D258" s="284" t="str">
        <f>IFERROR(VLOOKUP(B258,法术大全!$A:$W,4,FALSE),"")</f>
        <v/>
      </c>
      <c r="E258" s="19">
        <v>257</v>
      </c>
      <c r="F258" s="285" t="str">
        <f t="shared" si="7"/>
        <v/>
      </c>
      <c r="G258" s="19"/>
      <c r="H258" s="19"/>
      <c r="I258" s="19"/>
      <c r="J258" s="19"/>
      <c r="K258" s="19"/>
      <c r="L258" s="19"/>
    </row>
    <row r="259" spans="1:12" ht="16.5" customHeight="1">
      <c r="A259" s="19">
        <v>258</v>
      </c>
      <c r="B259" s="19" t="str">
        <f>IF(法术书!AW10="","",法术书!AW10)</f>
        <v/>
      </c>
      <c r="C259" s="19" t="str">
        <f>IFERROR(VLOOKUP(B259,法术大全!$A:$W,5,FALSE),"")</f>
        <v/>
      </c>
      <c r="D259" s="284" t="str">
        <f>IFERROR(VLOOKUP(B259,法术大全!$A:$W,4,FALSE),"")</f>
        <v/>
      </c>
      <c r="E259" s="19">
        <v>258</v>
      </c>
      <c r="F259" s="285" t="str">
        <f t="shared" si="7"/>
        <v/>
      </c>
      <c r="G259" s="19"/>
      <c r="H259" s="19"/>
      <c r="I259" s="19"/>
      <c r="J259" s="19"/>
      <c r="K259" s="19"/>
      <c r="L259" s="19"/>
    </row>
    <row r="260" spans="1:12" ht="16.5" customHeight="1">
      <c r="A260" s="19">
        <v>259</v>
      </c>
      <c r="B260" s="19" t="str">
        <f>IF(法术书!AW11="","",法术书!AW11)</f>
        <v/>
      </c>
      <c r="C260" s="19" t="str">
        <f>IFERROR(VLOOKUP(B260,法术大全!$A:$W,5,FALSE),"")</f>
        <v/>
      </c>
      <c r="D260" s="284" t="str">
        <f>IFERROR(VLOOKUP(B260,法术大全!$A:$W,4,FALSE),"")</f>
        <v/>
      </c>
      <c r="E260" s="19">
        <v>259</v>
      </c>
      <c r="F260" s="285" t="str">
        <f t="shared" si="7"/>
        <v/>
      </c>
      <c r="G260" s="19"/>
      <c r="H260" s="19"/>
      <c r="I260" s="19"/>
      <c r="J260" s="19"/>
      <c r="K260" s="19"/>
      <c r="L260" s="19"/>
    </row>
    <row r="261" spans="1:12" ht="16.5" customHeight="1">
      <c r="A261" s="19">
        <v>260</v>
      </c>
      <c r="B261" s="19" t="str">
        <f>IF(法术书!AW12="","",法术书!AW12)</f>
        <v/>
      </c>
      <c r="C261" s="19" t="str">
        <f>IFERROR(VLOOKUP(B261,法术大全!$A:$W,5,FALSE),"")</f>
        <v/>
      </c>
      <c r="D261" s="284" t="str">
        <f>IFERROR(VLOOKUP(B261,法术大全!$A:$W,4,FALSE),"")</f>
        <v/>
      </c>
      <c r="E261" s="19">
        <v>260</v>
      </c>
      <c r="F261" s="285" t="str">
        <f t="shared" si="7"/>
        <v/>
      </c>
      <c r="G261" s="19"/>
      <c r="H261" s="19"/>
      <c r="I261" s="19"/>
      <c r="J261" s="19"/>
      <c r="K261" s="19"/>
      <c r="L261" s="19"/>
    </row>
    <row r="262" spans="1:12" ht="16.5" customHeight="1">
      <c r="A262" s="19">
        <v>261</v>
      </c>
      <c r="B262" s="19" t="str">
        <f>IF(法术书!AW13="","",法术书!AW13)</f>
        <v/>
      </c>
      <c r="C262" s="19" t="str">
        <f>IFERROR(VLOOKUP(B262,法术大全!$A:$W,5,FALSE),"")</f>
        <v/>
      </c>
      <c r="D262" s="284" t="str">
        <f>IFERROR(VLOOKUP(B262,法术大全!$A:$W,4,FALSE),"")</f>
        <v/>
      </c>
      <c r="E262" s="19">
        <v>261</v>
      </c>
      <c r="F262" s="285" t="str">
        <f t="shared" si="7"/>
        <v/>
      </c>
      <c r="G262" s="19"/>
      <c r="H262" s="19"/>
      <c r="I262" s="19"/>
      <c r="J262" s="19"/>
      <c r="K262" s="19"/>
      <c r="L262" s="19"/>
    </row>
    <row r="263" spans="1:12" ht="16.5" customHeight="1">
      <c r="A263" s="19">
        <v>262</v>
      </c>
      <c r="B263" s="19" t="str">
        <f>IF(法术书!AW14="","",法术书!AW14)</f>
        <v/>
      </c>
      <c r="C263" s="19" t="str">
        <f>IFERROR(VLOOKUP(B263,法术大全!$A:$W,5,FALSE),"")</f>
        <v/>
      </c>
      <c r="D263" s="284" t="str">
        <f>IFERROR(VLOOKUP(B263,法术大全!$A:$W,4,FALSE),"")</f>
        <v/>
      </c>
      <c r="E263" s="19">
        <v>262</v>
      </c>
      <c r="F263" s="285" t="str">
        <f t="shared" si="7"/>
        <v/>
      </c>
      <c r="G263" s="19"/>
      <c r="H263" s="19"/>
      <c r="I263" s="19"/>
      <c r="J263" s="19"/>
      <c r="K263" s="19"/>
      <c r="L263" s="19"/>
    </row>
    <row r="264" spans="1:12" ht="16.5" customHeight="1">
      <c r="A264" s="19">
        <v>263</v>
      </c>
      <c r="B264" s="19" t="str">
        <f>IF(法术书!AW15="","",法术书!AW15)</f>
        <v/>
      </c>
      <c r="C264" s="19" t="str">
        <f>IFERROR(VLOOKUP(B264,法术大全!$A:$W,5,FALSE),"")</f>
        <v/>
      </c>
      <c r="D264" s="284" t="str">
        <f>IFERROR(VLOOKUP(B264,法术大全!$A:$W,4,FALSE),"")</f>
        <v/>
      </c>
      <c r="E264" s="19">
        <v>263</v>
      </c>
      <c r="F264" s="285" t="str">
        <f t="shared" si="7"/>
        <v/>
      </c>
      <c r="G264" s="19"/>
      <c r="H264" s="19"/>
      <c r="I264" s="19"/>
      <c r="J264" s="19"/>
      <c r="K264" s="19"/>
      <c r="L264" s="19"/>
    </row>
    <row r="265" spans="1:12" ht="16.5" customHeight="1">
      <c r="A265" s="19">
        <v>264</v>
      </c>
      <c r="B265" s="19" t="str">
        <f>IF(法术书!AW16="","",法术书!AW16)</f>
        <v/>
      </c>
      <c r="C265" s="19" t="str">
        <f>IFERROR(VLOOKUP(B265,法术大全!$A:$W,5,FALSE),"")</f>
        <v/>
      </c>
      <c r="D265" s="284" t="str">
        <f>IFERROR(VLOOKUP(B265,法术大全!$A:$W,4,FALSE),"")</f>
        <v/>
      </c>
      <c r="E265" s="19">
        <v>264</v>
      </c>
      <c r="F265" s="285" t="str">
        <f t="shared" si="7"/>
        <v/>
      </c>
      <c r="G265" s="19"/>
      <c r="H265" s="19"/>
      <c r="I265" s="19"/>
      <c r="J265" s="19"/>
      <c r="K265" s="19"/>
      <c r="L265" s="19"/>
    </row>
    <row r="266" spans="1:12" ht="16.5" customHeight="1">
      <c r="A266" s="19">
        <v>265</v>
      </c>
      <c r="B266" s="19" t="str">
        <f>IF(法术书!AW17="","",法术书!AW17)</f>
        <v/>
      </c>
      <c r="C266" s="19" t="str">
        <f>IFERROR(VLOOKUP(B266,法术大全!$A:$W,5,FALSE),"")</f>
        <v/>
      </c>
      <c r="D266" s="284" t="str">
        <f>IFERROR(VLOOKUP(B266,法术大全!$A:$W,4,FALSE),"")</f>
        <v/>
      </c>
      <c r="E266" s="19">
        <v>265</v>
      </c>
      <c r="F266" s="285" t="str">
        <f t="shared" si="7"/>
        <v/>
      </c>
      <c r="G266" s="19"/>
      <c r="H266" s="19"/>
      <c r="I266" s="19"/>
      <c r="J266" s="19"/>
      <c r="K266" s="19"/>
      <c r="L266" s="19"/>
    </row>
    <row r="267" spans="1:12" ht="16.5" customHeight="1">
      <c r="A267" s="19">
        <v>266</v>
      </c>
      <c r="B267" s="19" t="str">
        <f>IF(法术书!AW18="","",法术书!AW18)</f>
        <v/>
      </c>
      <c r="C267" s="19" t="str">
        <f>IFERROR(VLOOKUP(B267,法术大全!$A:$W,5,FALSE),"")</f>
        <v/>
      </c>
      <c r="D267" s="284" t="str">
        <f>IFERROR(VLOOKUP(B267,法术大全!$A:$W,4,FALSE),"")</f>
        <v/>
      </c>
      <c r="E267" s="19">
        <v>266</v>
      </c>
      <c r="F267" s="285" t="str">
        <f t="shared" si="7"/>
        <v/>
      </c>
      <c r="G267" s="19"/>
      <c r="H267" s="19"/>
      <c r="I267" s="19"/>
      <c r="J267" s="19"/>
      <c r="K267" s="19"/>
      <c r="L267" s="19"/>
    </row>
    <row r="268" spans="1:12" ht="16.5" customHeight="1">
      <c r="A268" s="19">
        <v>267</v>
      </c>
      <c r="B268" s="19" t="str">
        <f>IF(法术书!AW19="","",法术书!AW19)</f>
        <v/>
      </c>
      <c r="C268" s="19" t="str">
        <f>IFERROR(VLOOKUP(B268,法术大全!$A:$W,5,FALSE),"")</f>
        <v/>
      </c>
      <c r="D268" s="284" t="str">
        <f>IFERROR(VLOOKUP(B268,法术大全!$A:$W,4,FALSE),"")</f>
        <v/>
      </c>
      <c r="E268" s="19">
        <v>267</v>
      </c>
      <c r="F268" s="285" t="str">
        <f t="shared" si="7"/>
        <v/>
      </c>
      <c r="G268" s="19"/>
      <c r="H268" s="19"/>
      <c r="I268" s="19"/>
      <c r="J268" s="19"/>
      <c r="K268" s="19"/>
      <c r="L268" s="19"/>
    </row>
    <row r="269" spans="1:12" ht="16.5" customHeight="1">
      <c r="A269" s="19">
        <v>268</v>
      </c>
      <c r="B269" s="19" t="str">
        <f>IF(法术书!AW20="","",法术书!AW20)</f>
        <v/>
      </c>
      <c r="C269" s="19" t="str">
        <f>IFERROR(VLOOKUP(B269,法术大全!$A:$W,5,FALSE),"")</f>
        <v/>
      </c>
      <c r="D269" s="284" t="str">
        <f>IFERROR(VLOOKUP(B269,法术大全!$A:$W,4,FALSE),"")</f>
        <v/>
      </c>
      <c r="E269" s="19">
        <v>268</v>
      </c>
      <c r="F269" s="285" t="str">
        <f t="shared" si="7"/>
        <v/>
      </c>
      <c r="G269" s="19"/>
      <c r="H269" s="19"/>
      <c r="I269" s="19"/>
      <c r="J269" s="19"/>
      <c r="K269" s="19"/>
      <c r="L269" s="19"/>
    </row>
    <row r="270" spans="1:12" ht="16.5" customHeight="1">
      <c r="A270" s="19">
        <v>269</v>
      </c>
      <c r="B270" s="19" t="str">
        <f>IF(法术书!AW21="","",法术书!AW21)</f>
        <v/>
      </c>
      <c r="C270" s="19" t="str">
        <f>IFERROR(VLOOKUP(B270,法术大全!$A:$W,5,FALSE),"")</f>
        <v/>
      </c>
      <c r="D270" s="284" t="str">
        <f>IFERROR(VLOOKUP(B270,法术大全!$A:$W,4,FALSE),"")</f>
        <v/>
      </c>
      <c r="E270" s="19">
        <v>269</v>
      </c>
      <c r="F270" s="285" t="str">
        <f t="shared" si="7"/>
        <v/>
      </c>
      <c r="G270" s="19"/>
      <c r="H270" s="19"/>
      <c r="I270" s="19"/>
      <c r="J270" s="19"/>
      <c r="K270" s="19"/>
      <c r="L270" s="19"/>
    </row>
    <row r="271" spans="1:12" ht="16.5" customHeight="1">
      <c r="A271" s="19">
        <v>270</v>
      </c>
      <c r="B271" s="19" t="str">
        <f>IF(法术书!AW22="","",法术书!AW22)</f>
        <v/>
      </c>
      <c r="C271" s="19" t="str">
        <f>IFERROR(VLOOKUP(B271,法术大全!$A:$W,5,FALSE),"")</f>
        <v/>
      </c>
      <c r="D271" s="284" t="str">
        <f>IFERROR(VLOOKUP(B271,法术大全!$A:$W,4,FALSE),"")</f>
        <v/>
      </c>
      <c r="E271" s="19">
        <v>270</v>
      </c>
      <c r="F271" s="285" t="str">
        <f t="shared" si="7"/>
        <v/>
      </c>
      <c r="G271" s="19"/>
      <c r="H271" s="19"/>
      <c r="I271" s="19"/>
      <c r="J271" s="19"/>
      <c r="K271" s="19"/>
      <c r="L271" s="19"/>
    </row>
    <row r="272" spans="1:12" ht="16.5" customHeight="1">
      <c r="A272" s="19">
        <v>271</v>
      </c>
      <c r="B272" s="19" t="str">
        <f>IF(法术书!AW23="","",法术书!AW23)</f>
        <v/>
      </c>
      <c r="C272" s="19" t="str">
        <f>IFERROR(VLOOKUP(B272,法术大全!$A:$W,5,FALSE),"")</f>
        <v/>
      </c>
      <c r="D272" s="284" t="str">
        <f>IFERROR(VLOOKUP(B272,法术大全!$A:$W,4,FALSE),"")</f>
        <v/>
      </c>
      <c r="E272" s="19">
        <v>271</v>
      </c>
      <c r="F272" s="285" t="str">
        <f t="shared" si="7"/>
        <v/>
      </c>
      <c r="G272" s="19"/>
      <c r="H272" s="19"/>
      <c r="I272" s="19"/>
      <c r="J272" s="19"/>
      <c r="K272" s="19"/>
      <c r="L272" s="19"/>
    </row>
    <row r="273" spans="1:12" ht="16.5" customHeight="1">
      <c r="A273" s="19">
        <v>272</v>
      </c>
      <c r="B273" s="19" t="str">
        <f>IF(法术书!AW24="","",法术书!AW24)</f>
        <v/>
      </c>
      <c r="C273" s="19" t="str">
        <f>IFERROR(VLOOKUP(B273,法术大全!$A:$W,5,FALSE),"")</f>
        <v/>
      </c>
      <c r="D273" s="284" t="str">
        <f>IFERROR(VLOOKUP(B273,法术大全!$A:$W,4,FALSE),"")</f>
        <v/>
      </c>
      <c r="E273" s="19">
        <v>272</v>
      </c>
      <c r="F273" s="285" t="str">
        <f t="shared" si="7"/>
        <v/>
      </c>
      <c r="G273" s="19"/>
      <c r="H273" s="19"/>
      <c r="I273" s="19"/>
      <c r="J273" s="19"/>
      <c r="K273" s="19"/>
      <c r="L273" s="19"/>
    </row>
    <row r="274" spans="1:12" ht="16.5" customHeight="1">
      <c r="A274" s="19">
        <v>273</v>
      </c>
      <c r="B274" s="19" t="str">
        <f>IF(法术书!AW25="","",法术书!AW25)</f>
        <v/>
      </c>
      <c r="C274" s="19" t="str">
        <f>IFERROR(VLOOKUP(B274,法术大全!$A:$W,5,FALSE),"")</f>
        <v/>
      </c>
      <c r="D274" s="284" t="str">
        <f>IFERROR(VLOOKUP(B274,法术大全!$A:$W,4,FALSE),"")</f>
        <v/>
      </c>
      <c r="E274" s="19">
        <v>273</v>
      </c>
      <c r="F274" s="285" t="str">
        <f t="shared" si="7"/>
        <v/>
      </c>
      <c r="G274" s="19"/>
      <c r="H274" s="19"/>
      <c r="I274" s="19"/>
      <c r="J274" s="19"/>
      <c r="K274" s="19"/>
      <c r="L274" s="19"/>
    </row>
    <row r="275" spans="1:12" ht="16.5" customHeight="1">
      <c r="A275" s="19">
        <v>274</v>
      </c>
      <c r="B275" s="19" t="str">
        <f>IF(法术书!AW26="","",法术书!AW26)</f>
        <v/>
      </c>
      <c r="C275" s="19" t="str">
        <f>IFERROR(VLOOKUP(B275,法术大全!$A:$W,5,FALSE),"")</f>
        <v/>
      </c>
      <c r="D275" s="284" t="str">
        <f>IFERROR(VLOOKUP(B275,法术大全!$A:$W,4,FALSE),"")</f>
        <v/>
      </c>
      <c r="E275" s="19">
        <v>274</v>
      </c>
      <c r="F275" s="285" t="str">
        <f t="shared" si="7"/>
        <v/>
      </c>
      <c r="G275" s="19"/>
      <c r="H275" s="19"/>
      <c r="I275" s="19"/>
      <c r="J275" s="19"/>
      <c r="K275" s="19"/>
      <c r="L275" s="19"/>
    </row>
    <row r="276" spans="1:12" ht="16.5" customHeight="1">
      <c r="A276" s="19">
        <v>275</v>
      </c>
      <c r="B276" s="19" t="str">
        <f>IF(法术书!AW27="","",法术书!AW27)</f>
        <v/>
      </c>
      <c r="C276" s="19" t="str">
        <f>IFERROR(VLOOKUP(B276,法术大全!$A:$W,5,FALSE),"")</f>
        <v/>
      </c>
      <c r="D276" s="284" t="str">
        <f>IFERROR(VLOOKUP(B276,法术大全!$A:$W,4,FALSE),"")</f>
        <v/>
      </c>
      <c r="E276" s="19">
        <v>275</v>
      </c>
      <c r="F276" s="285" t="str">
        <f t="shared" si="7"/>
        <v/>
      </c>
      <c r="G276" s="19"/>
      <c r="H276" s="19"/>
      <c r="I276" s="19"/>
      <c r="J276" s="19"/>
      <c r="K276" s="19"/>
      <c r="L276" s="19"/>
    </row>
    <row r="277" spans="1:12" ht="16.5" customHeight="1">
      <c r="A277" s="19">
        <v>276</v>
      </c>
      <c r="B277" s="19" t="str">
        <f>IF(法术书!AW28="","",法术书!AW28)</f>
        <v/>
      </c>
      <c r="C277" s="19" t="str">
        <f>IFERROR(VLOOKUP(B277,法术大全!$A:$W,5,FALSE),"")</f>
        <v/>
      </c>
      <c r="D277" s="284" t="str">
        <f>IFERROR(VLOOKUP(B277,法术大全!$A:$W,4,FALSE),"")</f>
        <v/>
      </c>
      <c r="E277" s="19">
        <v>276</v>
      </c>
      <c r="F277" s="285" t="str">
        <f t="shared" si="7"/>
        <v/>
      </c>
      <c r="G277" s="19"/>
      <c r="H277" s="19"/>
      <c r="I277" s="19"/>
      <c r="J277" s="19"/>
      <c r="K277" s="19"/>
      <c r="L277" s="19"/>
    </row>
    <row r="278" spans="1:12" ht="16.5" customHeight="1">
      <c r="A278" s="19">
        <v>277</v>
      </c>
      <c r="B278" s="19" t="str">
        <f>IF(法术书!AW29="","",法术书!AW29)</f>
        <v/>
      </c>
      <c r="C278" s="19" t="str">
        <f>IFERROR(VLOOKUP(B278,法术大全!$A:$W,5,FALSE),"")</f>
        <v/>
      </c>
      <c r="D278" s="284" t="str">
        <f>IFERROR(VLOOKUP(B278,法术大全!$A:$W,4,FALSE),"")</f>
        <v/>
      </c>
      <c r="E278" s="19">
        <v>277</v>
      </c>
      <c r="F278" s="285" t="str">
        <f t="shared" si="7"/>
        <v/>
      </c>
      <c r="G278" s="19"/>
      <c r="H278" s="19"/>
      <c r="I278" s="19"/>
      <c r="J278" s="19"/>
      <c r="K278" s="19"/>
      <c r="L278" s="19"/>
    </row>
    <row r="279" spans="1:12" ht="16.5" customHeight="1">
      <c r="A279" s="19">
        <v>278</v>
      </c>
      <c r="B279" s="19" t="str">
        <f>IF(法术书!AW30="","",法术书!AW30)</f>
        <v/>
      </c>
      <c r="C279" s="19" t="str">
        <f>IFERROR(VLOOKUP(B279,法术大全!$A:$W,5,FALSE),"")</f>
        <v/>
      </c>
      <c r="D279" s="284" t="str">
        <f>IFERROR(VLOOKUP(B279,法术大全!$A:$W,4,FALSE),"")</f>
        <v/>
      </c>
      <c r="E279" s="19">
        <v>278</v>
      </c>
      <c r="F279" s="285" t="str">
        <f t="shared" si="7"/>
        <v/>
      </c>
      <c r="G279" s="19"/>
      <c r="H279" s="19"/>
      <c r="I279" s="19"/>
      <c r="J279" s="19"/>
      <c r="K279" s="19"/>
      <c r="L279" s="19"/>
    </row>
    <row r="280" spans="1:12" ht="16.5" customHeight="1">
      <c r="A280" s="19">
        <v>279</v>
      </c>
      <c r="B280" s="19" t="str">
        <f>IF(法术书!AW31="","",法术书!AW31)</f>
        <v/>
      </c>
      <c r="C280" s="19" t="str">
        <f>IFERROR(VLOOKUP(B280,法术大全!$A:$W,5,FALSE),"")</f>
        <v/>
      </c>
      <c r="D280" s="284" t="str">
        <f>IFERROR(VLOOKUP(B280,法术大全!$A:$W,4,FALSE),"")</f>
        <v/>
      </c>
      <c r="E280" s="19">
        <v>279</v>
      </c>
      <c r="F280" s="285" t="str">
        <f t="shared" si="7"/>
        <v/>
      </c>
      <c r="G280" s="19"/>
      <c r="H280" s="19"/>
      <c r="I280" s="19"/>
      <c r="J280" s="19"/>
      <c r="K280" s="19"/>
      <c r="L280" s="19"/>
    </row>
    <row r="281" spans="1:12" ht="16.5" customHeight="1">
      <c r="A281" s="19">
        <v>280</v>
      </c>
      <c r="B281" s="19" t="str">
        <f>IF(法术书!AW32="","",法术书!AW32)</f>
        <v/>
      </c>
      <c r="C281" s="19" t="str">
        <f>IFERROR(VLOOKUP(B281,法术大全!$A:$W,5,FALSE),"")</f>
        <v/>
      </c>
      <c r="D281" s="284" t="str">
        <f>IFERROR(VLOOKUP(B281,法术大全!$A:$W,4,FALSE),"")</f>
        <v/>
      </c>
      <c r="E281" s="19">
        <v>280</v>
      </c>
      <c r="F281" s="285" t="str">
        <f t="shared" si="7"/>
        <v/>
      </c>
      <c r="G281" s="19"/>
      <c r="H281" s="19"/>
      <c r="I281" s="19"/>
      <c r="J281" s="19"/>
      <c r="K281" s="19"/>
      <c r="L281" s="19"/>
    </row>
    <row r="282" spans="1:12" ht="16.5" customHeight="1">
      <c r="A282" s="19">
        <v>281</v>
      </c>
      <c r="B282" s="19" t="str">
        <f>IF(法术书!AW33="","",法术书!AW33)</f>
        <v/>
      </c>
      <c r="C282" s="19" t="str">
        <f>IFERROR(VLOOKUP(B282,法术大全!$A:$W,5,FALSE),"")</f>
        <v/>
      </c>
      <c r="D282" s="284" t="str">
        <f>IFERROR(VLOOKUP(B282,法术大全!$A:$W,4,FALSE),"")</f>
        <v/>
      </c>
      <c r="E282" s="19">
        <v>281</v>
      </c>
      <c r="F282" s="285" t="str">
        <f t="shared" si="7"/>
        <v/>
      </c>
      <c r="G282" s="19"/>
      <c r="H282" s="19"/>
      <c r="I282" s="19"/>
      <c r="J282" s="19"/>
      <c r="K282" s="19"/>
      <c r="L282" s="19"/>
    </row>
    <row r="283" spans="1:12" ht="16.5" customHeight="1">
      <c r="A283" s="19">
        <v>282</v>
      </c>
      <c r="B283" s="19" t="str">
        <f>IF(法术书!AW34="","",法术书!AW34)</f>
        <v/>
      </c>
      <c r="C283" s="19" t="str">
        <f>IFERROR(VLOOKUP(B283,法术大全!$A:$W,5,FALSE),"")</f>
        <v/>
      </c>
      <c r="D283" s="284" t="str">
        <f>IFERROR(VLOOKUP(B283,法术大全!$A:$W,4,FALSE),"")</f>
        <v/>
      </c>
      <c r="E283" s="19">
        <v>282</v>
      </c>
      <c r="F283" s="285" t="str">
        <f t="shared" si="7"/>
        <v/>
      </c>
      <c r="G283" s="19"/>
      <c r="H283" s="19"/>
      <c r="I283" s="19"/>
      <c r="J283" s="19"/>
      <c r="K283" s="19"/>
      <c r="L283" s="19"/>
    </row>
    <row r="284" spans="1:12" ht="16.5" customHeight="1">
      <c r="A284" s="19">
        <v>283</v>
      </c>
      <c r="B284" s="19" t="str">
        <f>IF(法术书!AW35="","",法术书!AW35)</f>
        <v/>
      </c>
      <c r="C284" s="19" t="str">
        <f>IFERROR(VLOOKUP(B284,法术大全!$A:$W,5,FALSE),"")</f>
        <v/>
      </c>
      <c r="D284" s="284" t="str">
        <f>IFERROR(VLOOKUP(B284,法术大全!$A:$W,4,FALSE),"")</f>
        <v/>
      </c>
      <c r="E284" s="19">
        <v>283</v>
      </c>
      <c r="F284" s="285" t="str">
        <f t="shared" si="7"/>
        <v/>
      </c>
      <c r="G284" s="19"/>
      <c r="H284" s="19"/>
      <c r="I284" s="19"/>
      <c r="J284" s="19"/>
      <c r="K284" s="19"/>
      <c r="L284" s="19"/>
    </row>
    <row r="285" spans="1:12" ht="16.5" customHeight="1">
      <c r="A285" s="19">
        <v>284</v>
      </c>
      <c r="B285" s="19" t="str">
        <f>IF(法术书!AW36="","",法术书!AW36)</f>
        <v/>
      </c>
      <c r="C285" s="19" t="str">
        <f>IFERROR(VLOOKUP(B285,法术大全!$A:$W,5,FALSE),"")</f>
        <v/>
      </c>
      <c r="D285" s="284" t="str">
        <f>IFERROR(VLOOKUP(B285,法术大全!$A:$W,4,FALSE),"")</f>
        <v/>
      </c>
      <c r="E285" s="19">
        <v>284</v>
      </c>
      <c r="F285" s="285" t="str">
        <f t="shared" si="7"/>
        <v/>
      </c>
      <c r="G285" s="19"/>
      <c r="H285" s="19"/>
      <c r="I285" s="19"/>
      <c r="J285" s="19"/>
      <c r="K285" s="19"/>
      <c r="L285" s="19"/>
    </row>
    <row r="286" spans="1:12" ht="16.5" customHeight="1">
      <c r="A286" s="19">
        <v>285</v>
      </c>
      <c r="B286" s="19" t="str">
        <f>IF(法术书!AW37="","",法术书!AW37)</f>
        <v/>
      </c>
      <c r="C286" s="19" t="str">
        <f>IFERROR(VLOOKUP(B286,法术大全!$A:$W,5,FALSE),"")</f>
        <v/>
      </c>
      <c r="D286" s="284" t="str">
        <f>IFERROR(VLOOKUP(B286,法术大全!$A:$W,4,FALSE),"")</f>
        <v/>
      </c>
      <c r="E286" s="19">
        <v>285</v>
      </c>
      <c r="F286" s="285" t="str">
        <f t="shared" si="7"/>
        <v/>
      </c>
      <c r="G286" s="19"/>
      <c r="H286" s="19"/>
      <c r="I286" s="19"/>
      <c r="J286" s="19"/>
      <c r="K286" s="19"/>
      <c r="L286" s="19"/>
    </row>
    <row r="287" spans="1:12" ht="16.5" customHeight="1">
      <c r="A287" s="19">
        <v>286</v>
      </c>
      <c r="B287" s="19" t="str">
        <f>IF(法术书!AW38="","",法术书!AW38)</f>
        <v/>
      </c>
      <c r="C287" s="19" t="str">
        <f>IFERROR(VLOOKUP(B287,法术大全!$A:$W,5,FALSE),"")</f>
        <v/>
      </c>
      <c r="D287" s="284" t="str">
        <f>IFERROR(VLOOKUP(B287,法术大全!$A:$W,4,FALSE),"")</f>
        <v/>
      </c>
      <c r="E287" s="19">
        <v>286</v>
      </c>
      <c r="F287" s="285" t="str">
        <f t="shared" si="7"/>
        <v/>
      </c>
      <c r="G287" s="19"/>
      <c r="H287" s="19"/>
      <c r="I287" s="19"/>
      <c r="J287" s="19"/>
      <c r="K287" s="19"/>
      <c r="L287" s="19"/>
    </row>
    <row r="288" spans="1:12" ht="16.5" customHeight="1">
      <c r="A288" s="19">
        <v>287</v>
      </c>
      <c r="B288" s="19" t="str">
        <f>IF(法术书!AW39="","",法术书!AW39)</f>
        <v/>
      </c>
      <c r="C288" s="19" t="str">
        <f>IFERROR(VLOOKUP(B288,法术大全!$A:$W,5,FALSE),"")</f>
        <v/>
      </c>
      <c r="D288" s="284" t="str">
        <f>IFERROR(VLOOKUP(B288,法术大全!$A:$W,4,FALSE),"")</f>
        <v/>
      </c>
      <c r="E288" s="19">
        <v>287</v>
      </c>
      <c r="F288" s="285" t="str">
        <f t="shared" si="7"/>
        <v/>
      </c>
      <c r="G288" s="19"/>
      <c r="H288" s="19"/>
      <c r="I288" s="19"/>
      <c r="J288" s="19"/>
      <c r="K288" s="19"/>
      <c r="L288" s="19"/>
    </row>
    <row r="289" spans="1:12" ht="16.5" customHeight="1">
      <c r="A289" s="19">
        <v>288</v>
      </c>
      <c r="B289" s="19" t="str">
        <f>IF(法术书!AW40="","",法术书!AW40)</f>
        <v/>
      </c>
      <c r="C289" s="19" t="str">
        <f>IFERROR(VLOOKUP(B289,法术大全!$A:$W,5,FALSE),"")</f>
        <v/>
      </c>
      <c r="D289" s="284" t="str">
        <f>IFERROR(VLOOKUP(B289,法术大全!$A:$W,4,FALSE),"")</f>
        <v/>
      </c>
      <c r="E289" s="19">
        <v>288</v>
      </c>
      <c r="F289" s="285" t="str">
        <f t="shared" si="7"/>
        <v/>
      </c>
      <c r="G289" s="19"/>
      <c r="H289" s="19"/>
      <c r="I289" s="19"/>
      <c r="J289" s="19"/>
      <c r="K289" s="19"/>
      <c r="L289" s="19"/>
    </row>
    <row r="290" spans="1:12" ht="16.5" customHeight="1">
      <c r="A290" s="19">
        <v>289</v>
      </c>
      <c r="B290" s="19" t="str">
        <f>IF(法术书!AW41="","",法术书!AW41)</f>
        <v/>
      </c>
      <c r="C290" s="19" t="str">
        <f>IFERROR(VLOOKUP(B290,法术大全!$A:$W,5,FALSE),"")</f>
        <v/>
      </c>
      <c r="D290" s="284" t="str">
        <f>IFERROR(VLOOKUP(B290,法术大全!$A:$W,4,FALSE),"")</f>
        <v/>
      </c>
      <c r="E290" s="19">
        <v>289</v>
      </c>
      <c r="F290" s="285" t="str">
        <f t="shared" si="7"/>
        <v/>
      </c>
      <c r="G290" s="19"/>
      <c r="H290" s="19"/>
      <c r="I290" s="19"/>
      <c r="J290" s="19"/>
      <c r="K290" s="19"/>
      <c r="L290" s="19"/>
    </row>
    <row r="291" spans="1:12" ht="16.5" customHeight="1">
      <c r="A291" s="19">
        <v>290</v>
      </c>
      <c r="B291" s="19" t="str">
        <f>IF(法术书!AW42="","",法术书!AW42)</f>
        <v/>
      </c>
      <c r="C291" s="19" t="str">
        <f>IFERROR(VLOOKUP(B291,法术大全!$A:$W,5,FALSE),"")</f>
        <v/>
      </c>
      <c r="D291" s="284" t="str">
        <f>IFERROR(VLOOKUP(B291,法术大全!$A:$W,4,FALSE),"")</f>
        <v/>
      </c>
      <c r="E291" s="19">
        <v>290</v>
      </c>
      <c r="F291" s="285" t="str">
        <f t="shared" si="7"/>
        <v/>
      </c>
      <c r="G291" s="19"/>
      <c r="H291" s="19"/>
      <c r="I291" s="19"/>
      <c r="J291" s="19"/>
      <c r="K291" s="19"/>
      <c r="L291" s="19"/>
    </row>
    <row r="292" spans="1:12" ht="16.5" customHeight="1">
      <c r="A292" s="19">
        <v>291</v>
      </c>
      <c r="B292" s="19" t="str">
        <f>IF(法术书!AW43="","",法术书!AW43)</f>
        <v/>
      </c>
      <c r="C292" s="19" t="str">
        <f>IFERROR(VLOOKUP(B292,法术大全!$A:$W,5,FALSE),"")</f>
        <v/>
      </c>
      <c r="D292" s="284" t="str">
        <f>IFERROR(VLOOKUP(B292,法术大全!$A:$W,4,FALSE),"")</f>
        <v/>
      </c>
      <c r="E292" s="19">
        <v>291</v>
      </c>
      <c r="F292" s="285" t="str">
        <f t="shared" si="7"/>
        <v/>
      </c>
      <c r="G292" s="19"/>
      <c r="H292" s="19"/>
      <c r="I292" s="19"/>
      <c r="J292" s="19"/>
      <c r="K292" s="19"/>
      <c r="L292" s="19"/>
    </row>
    <row r="293" spans="1:12" ht="16.5" customHeight="1">
      <c r="A293" s="19">
        <v>292</v>
      </c>
      <c r="B293" s="19" t="str">
        <f>IF(法术书!AW44="","",法术书!AW44)</f>
        <v/>
      </c>
      <c r="C293" s="19" t="str">
        <f>IFERROR(VLOOKUP(B293,法术大全!$A:$W,5,FALSE),"")</f>
        <v/>
      </c>
      <c r="D293" s="284" t="str">
        <f>IFERROR(VLOOKUP(B293,法术大全!$A:$W,4,FALSE),"")</f>
        <v/>
      </c>
      <c r="E293" s="19">
        <v>292</v>
      </c>
      <c r="F293" s="285" t="str">
        <f t="shared" si="7"/>
        <v/>
      </c>
      <c r="G293" s="19"/>
      <c r="H293" s="19"/>
      <c r="I293" s="19"/>
      <c r="J293" s="19"/>
      <c r="K293" s="19"/>
      <c r="L293" s="19"/>
    </row>
    <row r="294" spans="1:12" ht="16.5" customHeight="1">
      <c r="A294" s="19">
        <v>293</v>
      </c>
      <c r="B294" s="19" t="str">
        <f>IF(法术书!AW45="","",法术书!AW45)</f>
        <v/>
      </c>
      <c r="C294" s="19" t="str">
        <f>IFERROR(VLOOKUP(B294,法术大全!$A:$W,5,FALSE),"")</f>
        <v/>
      </c>
      <c r="D294" s="284" t="str">
        <f>IFERROR(VLOOKUP(B294,法术大全!$A:$W,4,FALSE),"")</f>
        <v/>
      </c>
      <c r="E294" s="19">
        <v>293</v>
      </c>
      <c r="F294" s="285" t="str">
        <f t="shared" si="7"/>
        <v/>
      </c>
      <c r="G294" s="19"/>
      <c r="H294" s="19"/>
      <c r="I294" s="19"/>
      <c r="J294" s="19"/>
      <c r="K294" s="19"/>
      <c r="L294" s="19"/>
    </row>
    <row r="295" spans="1:12" ht="16.5" customHeight="1">
      <c r="A295" s="19">
        <v>294</v>
      </c>
      <c r="B295" s="19" t="str">
        <f>IF(法术书!AW46="","",法术书!AW46)</f>
        <v/>
      </c>
      <c r="C295" s="19" t="str">
        <f>IFERROR(VLOOKUP(B295,法术大全!$A:$W,5,FALSE),"")</f>
        <v/>
      </c>
      <c r="D295" s="284" t="str">
        <f>IFERROR(VLOOKUP(B295,法术大全!$A:$W,4,FALSE),"")</f>
        <v/>
      </c>
      <c r="E295" s="19">
        <v>294</v>
      </c>
      <c r="F295" s="285" t="str">
        <f t="shared" si="7"/>
        <v/>
      </c>
      <c r="G295" s="19"/>
      <c r="H295" s="19"/>
      <c r="I295" s="19"/>
      <c r="J295" s="19"/>
      <c r="K295" s="19"/>
      <c r="L295" s="19"/>
    </row>
    <row r="296" spans="1:12" ht="16.5" customHeight="1">
      <c r="A296" s="19">
        <v>295</v>
      </c>
      <c r="B296" s="19" t="str">
        <f>IF(法术书!AW47="","",法术书!AW47)</f>
        <v/>
      </c>
      <c r="C296" s="19" t="str">
        <f>IFERROR(VLOOKUP(B296,法术大全!$A:$W,5,FALSE),"")</f>
        <v/>
      </c>
      <c r="D296" s="284" t="str">
        <f>IFERROR(VLOOKUP(B296,法术大全!$A:$W,4,FALSE),"")</f>
        <v/>
      </c>
      <c r="E296" s="19">
        <v>295</v>
      </c>
      <c r="F296" s="285" t="str">
        <f t="shared" si="7"/>
        <v/>
      </c>
      <c r="G296" s="19"/>
      <c r="H296" s="19"/>
      <c r="I296" s="19"/>
      <c r="J296" s="19"/>
      <c r="K296" s="19"/>
      <c r="L296" s="19"/>
    </row>
    <row r="297" spans="1:12" ht="16.5" customHeight="1">
      <c r="A297" s="19">
        <v>296</v>
      </c>
      <c r="B297" s="19" t="str">
        <f>IF(法术书!AW48="","",法术书!AW48)</f>
        <v/>
      </c>
      <c r="C297" s="19" t="str">
        <f>IFERROR(VLOOKUP(B297,法术大全!$A:$W,5,FALSE),"")</f>
        <v/>
      </c>
      <c r="D297" s="284" t="str">
        <f>IFERROR(VLOOKUP(B297,法术大全!$A:$W,4,FALSE),"")</f>
        <v/>
      </c>
      <c r="E297" s="19">
        <v>296</v>
      </c>
      <c r="F297" s="285" t="str">
        <f t="shared" si="7"/>
        <v/>
      </c>
      <c r="G297" s="19"/>
      <c r="H297" s="19"/>
      <c r="I297" s="19"/>
      <c r="J297" s="19"/>
      <c r="K297" s="19"/>
      <c r="L297" s="19"/>
    </row>
    <row r="298" spans="1:12" ht="16.5" customHeight="1">
      <c r="A298" s="19">
        <v>297</v>
      </c>
      <c r="B298" s="19" t="str">
        <f>IF(法术书!AW49="","",法术书!AW49)</f>
        <v/>
      </c>
      <c r="C298" s="19" t="str">
        <f>IFERROR(VLOOKUP(B298,法术大全!$A:$W,5,FALSE),"")</f>
        <v/>
      </c>
      <c r="D298" s="284" t="str">
        <f>IFERROR(VLOOKUP(B298,法术大全!$A:$W,4,FALSE),"")</f>
        <v/>
      </c>
      <c r="E298" s="19">
        <v>297</v>
      </c>
      <c r="F298" s="285" t="str">
        <f t="shared" si="7"/>
        <v/>
      </c>
      <c r="G298" s="19"/>
      <c r="H298" s="19"/>
      <c r="I298" s="19"/>
      <c r="J298" s="19"/>
      <c r="K298" s="19"/>
      <c r="L298" s="19"/>
    </row>
    <row r="299" spans="1:12" ht="16.5" customHeight="1">
      <c r="A299" s="19">
        <v>298</v>
      </c>
      <c r="B299" s="19" t="str">
        <f>IF(法术书!AW50="","",法术书!AW50)</f>
        <v/>
      </c>
      <c r="C299" s="19" t="str">
        <f>IFERROR(VLOOKUP(B299,法术大全!$A:$W,5,FALSE),"")</f>
        <v/>
      </c>
      <c r="D299" s="284" t="str">
        <f>IFERROR(VLOOKUP(B299,法术大全!$A:$W,4,FALSE),"")</f>
        <v/>
      </c>
      <c r="E299" s="19">
        <v>298</v>
      </c>
      <c r="F299" s="285" t="str">
        <f t="shared" si="7"/>
        <v/>
      </c>
      <c r="G299" s="19"/>
      <c r="H299" s="19"/>
      <c r="I299" s="19"/>
      <c r="J299" s="19"/>
      <c r="K299" s="19"/>
      <c r="L299" s="19"/>
    </row>
    <row r="300" spans="1:12" ht="16.5" customHeight="1">
      <c r="A300" s="19">
        <v>299</v>
      </c>
      <c r="B300" s="19" t="str">
        <f>IF(法术书!AW51="","",法术书!AW51)</f>
        <v/>
      </c>
      <c r="C300" s="19" t="str">
        <f>IFERROR(VLOOKUP(B300,法术大全!$A:$W,5,FALSE),"")</f>
        <v/>
      </c>
      <c r="D300" s="284" t="str">
        <f>IFERROR(VLOOKUP(B300,法术大全!$A:$W,4,FALSE),"")</f>
        <v/>
      </c>
      <c r="E300" s="19">
        <v>299</v>
      </c>
      <c r="F300" s="285" t="str">
        <f t="shared" si="7"/>
        <v/>
      </c>
      <c r="G300" s="19"/>
      <c r="H300" s="19"/>
      <c r="I300" s="19"/>
      <c r="J300" s="19"/>
      <c r="K300" s="19"/>
      <c r="L300" s="19"/>
    </row>
    <row r="301" spans="1:12" ht="16.5" customHeight="1">
      <c r="A301" s="19">
        <v>300</v>
      </c>
      <c r="B301" s="19" t="str">
        <f>IF(法术书!AW52="","",法术书!AW52)</f>
        <v/>
      </c>
      <c r="C301" s="19" t="str">
        <f>IFERROR(VLOOKUP(B301,法术大全!$A:$W,5,FALSE),"")</f>
        <v/>
      </c>
      <c r="D301" s="284" t="str">
        <f>IFERROR(VLOOKUP(B301,法术大全!$A:$W,4,FALSE),"")</f>
        <v/>
      </c>
      <c r="E301" s="19">
        <v>300</v>
      </c>
      <c r="F301" s="285" t="str">
        <f t="shared" si="7"/>
        <v/>
      </c>
      <c r="G301" s="19"/>
      <c r="H301" s="19"/>
      <c r="I301" s="19"/>
      <c r="J301" s="19"/>
      <c r="K301" s="19"/>
      <c r="L301" s="19"/>
    </row>
    <row r="302" spans="1:12" ht="16.5" customHeight="1">
      <c r="A302" s="19" t="str">
        <f>IFERROR(VLOOKUP(#REF!,#REF!,17,FALSE),"")</f>
        <v/>
      </c>
      <c r="B302" s="19"/>
      <c r="C302" s="19"/>
      <c r="D302" s="19"/>
      <c r="E302" s="19"/>
      <c r="F302" s="19"/>
      <c r="G302" s="19"/>
      <c r="H302" s="19"/>
      <c r="I302" s="19"/>
      <c r="J302" s="19"/>
      <c r="K302" s="19"/>
      <c r="L302" s="19"/>
    </row>
    <row r="303" spans="1:12" ht="16.5" customHeight="1">
      <c r="A303" s="19" t="str">
        <f>IFERROR(VLOOKUP(#REF!,#REF!,17,FALSE),"")</f>
        <v/>
      </c>
      <c r="B303" s="19"/>
      <c r="C303" s="19"/>
      <c r="D303" s="19"/>
      <c r="E303" s="19"/>
      <c r="F303" s="19"/>
      <c r="G303" s="19"/>
      <c r="H303" s="19"/>
      <c r="I303" s="19"/>
      <c r="J303" s="19"/>
      <c r="K303" s="19"/>
      <c r="L303" s="19"/>
    </row>
    <row r="304" spans="1:12" ht="16.5" customHeight="1">
      <c r="A304" s="19" t="str">
        <f>IFERROR(VLOOKUP(#REF!,#REF!,17,FALSE),"")</f>
        <v/>
      </c>
      <c r="B304" s="19"/>
      <c r="C304" s="19"/>
      <c r="D304" s="19"/>
      <c r="E304" s="19"/>
      <c r="F304" s="19"/>
      <c r="G304" s="19"/>
      <c r="H304" s="19"/>
      <c r="I304" s="19"/>
      <c r="J304" s="19"/>
      <c r="K304" s="19"/>
      <c r="L304" s="19"/>
    </row>
    <row r="305" spans="1:12" ht="16.5" customHeight="1">
      <c r="A305" s="19" t="str">
        <f>IFERROR(VLOOKUP(#REF!,#REF!,17,FALSE),"")</f>
        <v/>
      </c>
      <c r="B305" s="19"/>
      <c r="C305" s="19"/>
      <c r="D305" s="19"/>
      <c r="E305" s="19"/>
      <c r="F305" s="19"/>
      <c r="G305" s="19"/>
      <c r="H305" s="19"/>
      <c r="I305" s="19"/>
      <c r="J305" s="19"/>
      <c r="K305" s="19"/>
      <c r="L305" s="19"/>
    </row>
    <row r="306" spans="1:12" ht="16.5" customHeight="1">
      <c r="A306" s="19" t="str">
        <f>IFERROR(VLOOKUP(#REF!,#REF!,17,FALSE),"")</f>
        <v/>
      </c>
      <c r="B306" s="19"/>
      <c r="C306" s="19"/>
      <c r="D306" s="19"/>
      <c r="E306" s="19"/>
      <c r="F306" s="19"/>
      <c r="G306" s="19"/>
      <c r="H306" s="19"/>
      <c r="I306" s="19"/>
      <c r="J306" s="19"/>
      <c r="K306" s="19"/>
      <c r="L306" s="19"/>
    </row>
    <row r="307" spans="1:12" ht="16.5" customHeight="1">
      <c r="A307" s="19" t="str">
        <f>IFERROR(VLOOKUP(#REF!,#REF!,17,FALSE),"")</f>
        <v/>
      </c>
      <c r="B307" s="19"/>
      <c r="C307" s="19"/>
      <c r="D307" s="19"/>
      <c r="E307" s="19"/>
      <c r="F307" s="19"/>
      <c r="G307" s="19"/>
      <c r="H307" s="19"/>
      <c r="I307" s="19"/>
      <c r="J307" s="19"/>
      <c r="K307" s="19"/>
      <c r="L307" s="19"/>
    </row>
    <row r="308" spans="1:12" ht="16.5" customHeight="1">
      <c r="A308" s="19" t="str">
        <f>IFERROR(VLOOKUP(#REF!,#REF!,17,FALSE),"")</f>
        <v/>
      </c>
      <c r="B308" s="19"/>
      <c r="C308" s="19"/>
      <c r="D308" s="19"/>
      <c r="E308" s="19"/>
      <c r="F308" s="19"/>
      <c r="G308" s="19"/>
      <c r="H308" s="19"/>
      <c r="I308" s="19"/>
      <c r="J308" s="19"/>
      <c r="K308" s="19"/>
      <c r="L308" s="19"/>
    </row>
    <row r="309" spans="1:12" ht="16.5" customHeight="1">
      <c r="A309" s="19" t="str">
        <f>IFERROR(VLOOKUP(#REF!,#REF!,17,FALSE),"")</f>
        <v/>
      </c>
      <c r="B309" s="19"/>
      <c r="C309" s="19"/>
      <c r="D309" s="19"/>
      <c r="E309" s="19"/>
      <c r="F309" s="19"/>
      <c r="G309" s="19"/>
      <c r="H309" s="19"/>
      <c r="I309" s="19"/>
      <c r="J309" s="19"/>
      <c r="K309" s="19"/>
      <c r="L309" s="19"/>
    </row>
    <row r="310" spans="1:12" ht="16.5" customHeight="1">
      <c r="A310" s="19" t="str">
        <f>IFERROR(VLOOKUP(#REF!,#REF!,17,FALSE),"")</f>
        <v/>
      </c>
      <c r="B310" s="19"/>
      <c r="C310" s="19"/>
      <c r="D310" s="19"/>
      <c r="E310" s="19"/>
      <c r="F310" s="19"/>
      <c r="G310" s="19"/>
      <c r="H310" s="19"/>
      <c r="I310" s="19"/>
      <c r="J310" s="19"/>
      <c r="K310" s="19"/>
      <c r="L310" s="19"/>
    </row>
    <row r="311" spans="1:12" ht="16.5" customHeight="1">
      <c r="A311" s="19" t="str">
        <f>IFERROR(VLOOKUP(#REF!,#REF!,17,FALSE),"")</f>
        <v/>
      </c>
      <c r="B311" s="19"/>
      <c r="C311" s="19"/>
      <c r="D311" s="19"/>
      <c r="E311" s="19"/>
      <c r="F311" s="19"/>
      <c r="G311" s="19"/>
      <c r="H311" s="19"/>
      <c r="I311" s="19"/>
      <c r="J311" s="19"/>
      <c r="K311" s="19"/>
      <c r="L311" s="19"/>
    </row>
    <row r="312" spans="1:12" ht="16.5" customHeight="1">
      <c r="A312" s="19" t="str">
        <f>IFERROR(VLOOKUP(#REF!,#REF!,17,FALSE),"")</f>
        <v/>
      </c>
      <c r="B312" s="19"/>
      <c r="C312" s="19"/>
      <c r="D312" s="19"/>
      <c r="E312" s="19"/>
      <c r="F312" s="19"/>
      <c r="G312" s="19"/>
      <c r="H312" s="19"/>
      <c r="I312" s="19"/>
      <c r="J312" s="19"/>
      <c r="K312" s="19"/>
      <c r="L312" s="19"/>
    </row>
    <row r="313" spans="1:12" ht="16.5" customHeight="1">
      <c r="A313" s="19" t="str">
        <f>IFERROR(VLOOKUP(#REF!,#REF!,17,FALSE),"")</f>
        <v/>
      </c>
      <c r="B313" s="19"/>
      <c r="C313" s="19"/>
      <c r="D313" s="19"/>
      <c r="E313" s="19"/>
      <c r="F313" s="19"/>
      <c r="G313" s="19"/>
      <c r="H313" s="19"/>
      <c r="I313" s="19"/>
      <c r="J313" s="19"/>
      <c r="K313" s="19"/>
      <c r="L313" s="19"/>
    </row>
    <row r="314" spans="1:12" ht="16.5" customHeight="1">
      <c r="A314" s="19" t="str">
        <f>IFERROR(VLOOKUP(#REF!,#REF!,17,FALSE),"")</f>
        <v/>
      </c>
      <c r="B314" s="19"/>
      <c r="C314" s="19"/>
      <c r="D314" s="19"/>
      <c r="E314" s="19"/>
      <c r="F314" s="19"/>
      <c r="G314" s="19"/>
      <c r="H314" s="19"/>
      <c r="I314" s="19"/>
      <c r="J314" s="19"/>
      <c r="K314" s="19"/>
      <c r="L314" s="19"/>
    </row>
    <row r="315" spans="1:12" ht="16.5" customHeight="1">
      <c r="A315" s="19" t="str">
        <f>IFERROR(VLOOKUP(#REF!,#REF!,17,FALSE),"")</f>
        <v/>
      </c>
      <c r="B315" s="19"/>
      <c r="C315" s="19"/>
      <c r="D315" s="19"/>
      <c r="E315" s="19"/>
      <c r="F315" s="19"/>
      <c r="G315" s="19"/>
      <c r="H315" s="19"/>
      <c r="I315" s="19"/>
      <c r="J315" s="19"/>
      <c r="K315" s="19"/>
      <c r="L315" s="19"/>
    </row>
    <row r="316" spans="1:12" ht="16.5" customHeight="1">
      <c r="A316" s="19" t="str">
        <f>IFERROR(VLOOKUP(#REF!,#REF!,17,FALSE),"")</f>
        <v/>
      </c>
      <c r="B316" s="19"/>
      <c r="C316" s="19"/>
      <c r="D316" s="19"/>
      <c r="E316" s="19"/>
      <c r="F316" s="19"/>
      <c r="G316" s="19"/>
      <c r="H316" s="19"/>
      <c r="I316" s="19"/>
      <c r="J316" s="19"/>
      <c r="K316" s="19"/>
      <c r="L316" s="19"/>
    </row>
    <row r="317" spans="1:12" ht="16.5" customHeight="1">
      <c r="A317" s="19" t="str">
        <f>IFERROR(VLOOKUP(#REF!,#REF!,17,FALSE),"")</f>
        <v/>
      </c>
      <c r="B317" s="19"/>
      <c r="C317" s="19"/>
      <c r="D317" s="19"/>
      <c r="E317" s="19"/>
      <c r="F317" s="19"/>
      <c r="G317" s="19"/>
      <c r="H317" s="19"/>
      <c r="I317" s="19"/>
      <c r="J317" s="19"/>
      <c r="K317" s="19"/>
      <c r="L317" s="19"/>
    </row>
    <row r="318" spans="1:12" ht="16.5" customHeight="1">
      <c r="A318" s="19" t="str">
        <f>IFERROR(VLOOKUP(#REF!,#REF!,17,FALSE),"")</f>
        <v/>
      </c>
      <c r="B318" s="19"/>
      <c r="C318" s="19"/>
      <c r="D318" s="19"/>
      <c r="E318" s="19"/>
      <c r="F318" s="19"/>
      <c r="G318" s="19"/>
      <c r="H318" s="19"/>
      <c r="I318" s="19"/>
      <c r="J318" s="19"/>
      <c r="K318" s="19"/>
      <c r="L318" s="19"/>
    </row>
    <row r="319" spans="1:12" ht="16.5" customHeight="1">
      <c r="A319" s="19" t="str">
        <f>IFERROR(VLOOKUP(#REF!,#REF!,17,FALSE),"")</f>
        <v/>
      </c>
      <c r="B319" s="19"/>
      <c r="C319" s="19"/>
      <c r="D319" s="19"/>
      <c r="E319" s="19"/>
      <c r="F319" s="19"/>
      <c r="G319" s="19"/>
      <c r="H319" s="19"/>
      <c r="I319" s="19"/>
      <c r="J319" s="19"/>
      <c r="K319" s="19"/>
      <c r="L319" s="19"/>
    </row>
    <row r="320" spans="1:12" ht="16.5" customHeight="1">
      <c r="A320" s="19" t="str">
        <f>IFERROR(VLOOKUP(#REF!,#REF!,17,FALSE),"")</f>
        <v/>
      </c>
      <c r="B320" s="19"/>
      <c r="C320" s="19"/>
      <c r="D320" s="19"/>
      <c r="E320" s="19"/>
      <c r="F320" s="19"/>
      <c r="G320" s="19"/>
      <c r="H320" s="19"/>
      <c r="I320" s="19"/>
      <c r="J320" s="19"/>
      <c r="K320" s="19"/>
      <c r="L320" s="19"/>
    </row>
    <row r="321" spans="1:12" ht="16.5" customHeight="1">
      <c r="A321" s="19" t="str">
        <f>IFERROR(VLOOKUP(#REF!,#REF!,17,FALSE),"")</f>
        <v/>
      </c>
      <c r="B321" s="19"/>
      <c r="C321" s="19"/>
      <c r="D321" s="19"/>
      <c r="E321" s="19"/>
      <c r="F321" s="19"/>
      <c r="G321" s="19"/>
      <c r="H321" s="19"/>
      <c r="I321" s="19"/>
      <c r="J321" s="19"/>
      <c r="K321" s="19"/>
      <c r="L321" s="19"/>
    </row>
    <row r="322" spans="1:12" ht="16.5" customHeight="1">
      <c r="A322" s="19" t="str">
        <f>IFERROR(VLOOKUP(#REF!,#REF!,17,FALSE),"")</f>
        <v/>
      </c>
      <c r="B322" s="19"/>
      <c r="C322" s="19"/>
      <c r="D322" s="19"/>
      <c r="E322" s="19"/>
      <c r="F322" s="19"/>
      <c r="G322" s="19"/>
      <c r="H322" s="19"/>
      <c r="I322" s="19"/>
      <c r="J322" s="19"/>
      <c r="K322" s="19"/>
      <c r="L322" s="19"/>
    </row>
    <row r="323" spans="1:12" ht="16.5" customHeight="1">
      <c r="A323" s="19" t="str">
        <f>IFERROR(VLOOKUP(#REF!,#REF!,17,FALSE),"")</f>
        <v/>
      </c>
      <c r="B323" s="19"/>
      <c r="C323" s="19"/>
      <c r="D323" s="19"/>
      <c r="E323" s="19"/>
      <c r="F323" s="19"/>
      <c r="G323" s="19"/>
      <c r="H323" s="19"/>
      <c r="I323" s="19"/>
      <c r="J323" s="19"/>
      <c r="K323" s="19"/>
      <c r="L323" s="19"/>
    </row>
    <row r="324" spans="1:12" ht="16.5" customHeight="1">
      <c r="A324" s="19" t="str">
        <f>IFERROR(VLOOKUP(#REF!,#REF!,17,FALSE),"")</f>
        <v/>
      </c>
      <c r="B324" s="19"/>
      <c r="C324" s="19"/>
      <c r="D324" s="19"/>
      <c r="E324" s="19"/>
      <c r="F324" s="19"/>
      <c r="G324" s="19"/>
      <c r="H324" s="19"/>
      <c r="I324" s="19"/>
      <c r="J324" s="19"/>
      <c r="K324" s="19"/>
      <c r="L324" s="19"/>
    </row>
    <row r="325" spans="1:12" ht="16.5" customHeight="1">
      <c r="A325" s="19" t="str">
        <f>IFERROR(VLOOKUP(#REF!,#REF!,17,FALSE),"")</f>
        <v/>
      </c>
      <c r="B325" s="19"/>
      <c r="C325" s="19"/>
      <c r="D325" s="19"/>
      <c r="E325" s="19"/>
      <c r="F325" s="19"/>
      <c r="G325" s="19"/>
      <c r="H325" s="19"/>
      <c r="I325" s="19"/>
      <c r="J325" s="19"/>
      <c r="K325" s="19"/>
      <c r="L325" s="19"/>
    </row>
    <row r="326" spans="1:12" ht="16.5" customHeight="1">
      <c r="A326" s="19" t="str">
        <f>IFERROR(VLOOKUP(#REF!,#REF!,17,FALSE),"")</f>
        <v/>
      </c>
      <c r="B326" s="19"/>
      <c r="C326" s="19"/>
      <c r="D326" s="19"/>
      <c r="E326" s="19"/>
      <c r="F326" s="19"/>
      <c r="G326" s="19"/>
      <c r="H326" s="19"/>
      <c r="I326" s="19"/>
      <c r="J326" s="19"/>
      <c r="K326" s="19"/>
      <c r="L326" s="19"/>
    </row>
    <row r="327" spans="1:12" ht="16.5" customHeight="1">
      <c r="A327" s="19" t="str">
        <f>IFERROR(VLOOKUP(#REF!,#REF!,17,FALSE),"")</f>
        <v/>
      </c>
      <c r="B327" s="19"/>
      <c r="C327" s="19"/>
      <c r="D327" s="19"/>
      <c r="E327" s="19"/>
      <c r="F327" s="19"/>
      <c r="G327" s="19"/>
      <c r="H327" s="19"/>
      <c r="I327" s="19"/>
      <c r="J327" s="19"/>
      <c r="K327" s="19"/>
      <c r="L327" s="19"/>
    </row>
    <row r="328" spans="1:12" ht="16.5" customHeight="1">
      <c r="A328" s="19" t="str">
        <f>IFERROR(VLOOKUP(#REF!,#REF!,17,FALSE),"")</f>
        <v/>
      </c>
      <c r="B328" s="19"/>
      <c r="C328" s="19"/>
      <c r="D328" s="19"/>
      <c r="E328" s="19"/>
      <c r="F328" s="19"/>
      <c r="G328" s="19"/>
      <c r="H328" s="19"/>
      <c r="I328" s="19"/>
      <c r="J328" s="19"/>
      <c r="K328" s="19"/>
      <c r="L328" s="19"/>
    </row>
    <row r="329" spans="1:12" ht="16.5" customHeight="1">
      <c r="A329" s="19" t="str">
        <f>IFERROR(VLOOKUP(#REF!,#REF!,17,FALSE),"")</f>
        <v/>
      </c>
      <c r="B329" s="19"/>
      <c r="C329" s="19"/>
      <c r="D329" s="19"/>
      <c r="E329" s="19"/>
      <c r="F329" s="19"/>
      <c r="G329" s="19"/>
      <c r="H329" s="19"/>
      <c r="I329" s="19"/>
      <c r="J329" s="19"/>
      <c r="K329" s="19"/>
      <c r="L329" s="19"/>
    </row>
    <row r="330" spans="1:12" ht="16.5" customHeight="1">
      <c r="A330" s="19" t="str">
        <f>IFERROR(VLOOKUP(#REF!,#REF!,17,FALSE),"")</f>
        <v/>
      </c>
      <c r="B330" s="19"/>
      <c r="C330" s="19"/>
      <c r="D330" s="19"/>
      <c r="E330" s="19"/>
      <c r="F330" s="19"/>
      <c r="G330" s="19"/>
      <c r="H330" s="19"/>
      <c r="I330" s="19"/>
      <c r="J330" s="19"/>
      <c r="K330" s="19"/>
      <c r="L330" s="19"/>
    </row>
    <row r="331" spans="1:12" ht="16.5" customHeight="1">
      <c r="A331" s="19" t="str">
        <f>IFERROR(VLOOKUP(#REF!,#REF!,17,FALSE),"")</f>
        <v/>
      </c>
      <c r="B331" s="19"/>
      <c r="C331" s="19"/>
      <c r="D331" s="19"/>
      <c r="E331" s="19"/>
      <c r="F331" s="19"/>
      <c r="G331" s="19"/>
      <c r="H331" s="19"/>
      <c r="I331" s="19"/>
      <c r="J331" s="19"/>
      <c r="K331" s="19"/>
      <c r="L331" s="19"/>
    </row>
    <row r="332" spans="1:12" ht="16.5" customHeight="1">
      <c r="A332" s="19" t="str">
        <f>IFERROR(VLOOKUP(#REF!,#REF!,17,FALSE),"")</f>
        <v/>
      </c>
      <c r="B332" s="19"/>
      <c r="C332" s="19"/>
      <c r="D332" s="19"/>
      <c r="E332" s="19"/>
      <c r="F332" s="19"/>
      <c r="G332" s="19"/>
      <c r="H332" s="19"/>
      <c r="I332" s="19"/>
      <c r="J332" s="19"/>
      <c r="K332" s="19"/>
      <c r="L332" s="19"/>
    </row>
    <row r="333" spans="1:12" ht="16.5" customHeight="1">
      <c r="A333" s="19" t="str">
        <f>IFERROR(VLOOKUP(#REF!,#REF!,17,FALSE),"")</f>
        <v/>
      </c>
      <c r="B333" s="19"/>
      <c r="C333" s="19"/>
      <c r="D333" s="19"/>
      <c r="E333" s="19"/>
      <c r="F333" s="19"/>
      <c r="G333" s="19"/>
      <c r="H333" s="19"/>
      <c r="I333" s="19"/>
      <c r="J333" s="19"/>
      <c r="K333" s="19"/>
      <c r="L333" s="19"/>
    </row>
    <row r="334" spans="1:12" ht="16.5" customHeight="1">
      <c r="A334" s="19" t="str">
        <f>IFERROR(VLOOKUP(#REF!,#REF!,17,FALSE),"")</f>
        <v/>
      </c>
      <c r="B334" s="19"/>
      <c r="C334" s="19"/>
      <c r="D334" s="19"/>
      <c r="E334" s="19"/>
      <c r="F334" s="19"/>
      <c r="G334" s="19"/>
      <c r="H334" s="19"/>
      <c r="I334" s="19"/>
      <c r="J334" s="19"/>
      <c r="K334" s="19"/>
      <c r="L334" s="19"/>
    </row>
    <row r="335" spans="1:12" ht="16.5" customHeight="1">
      <c r="A335" s="19" t="str">
        <f>IFERROR(VLOOKUP(#REF!,#REF!,17,FALSE),"")</f>
        <v/>
      </c>
      <c r="B335" s="19"/>
      <c r="C335" s="19"/>
      <c r="D335" s="19"/>
      <c r="E335" s="19"/>
      <c r="F335" s="19"/>
      <c r="G335" s="19"/>
      <c r="H335" s="19"/>
      <c r="I335" s="19"/>
      <c r="J335" s="19"/>
      <c r="K335" s="19"/>
      <c r="L335" s="19"/>
    </row>
    <row r="336" spans="1:12" ht="16.5" customHeight="1">
      <c r="A336" s="19" t="str">
        <f>IFERROR(VLOOKUP(#REF!,#REF!,17,FALSE),"")</f>
        <v/>
      </c>
      <c r="B336" s="19"/>
      <c r="C336" s="19"/>
      <c r="D336" s="19"/>
      <c r="E336" s="19"/>
      <c r="F336" s="19"/>
      <c r="G336" s="19"/>
      <c r="H336" s="19"/>
      <c r="I336" s="19"/>
      <c r="J336" s="19"/>
      <c r="K336" s="19"/>
      <c r="L336" s="19"/>
    </row>
    <row r="337" spans="1:12" ht="16.5" customHeight="1">
      <c r="A337" s="19" t="str">
        <f>IFERROR(VLOOKUP(#REF!,#REF!,17,FALSE),"")</f>
        <v/>
      </c>
      <c r="B337" s="19"/>
      <c r="C337" s="19"/>
      <c r="D337" s="19"/>
      <c r="E337" s="19"/>
      <c r="F337" s="19"/>
      <c r="G337" s="19"/>
      <c r="H337" s="19"/>
      <c r="I337" s="19"/>
      <c r="J337" s="19"/>
      <c r="K337" s="19"/>
      <c r="L337" s="19"/>
    </row>
    <row r="338" spans="1:12" ht="16.5" customHeight="1">
      <c r="A338" s="19" t="str">
        <f>IFERROR(VLOOKUP(#REF!,#REF!,17,FALSE),"")</f>
        <v/>
      </c>
      <c r="B338" s="19"/>
      <c r="C338" s="19"/>
      <c r="D338" s="19"/>
      <c r="E338" s="19"/>
      <c r="F338" s="19"/>
      <c r="G338" s="19"/>
      <c r="H338" s="19"/>
      <c r="I338" s="19"/>
      <c r="J338" s="19"/>
      <c r="K338" s="19"/>
      <c r="L338" s="19"/>
    </row>
    <row r="339" spans="1:12" ht="16.5" customHeight="1">
      <c r="A339" s="19" t="str">
        <f>IFERROR(VLOOKUP(#REF!,#REF!,17,FALSE),"")</f>
        <v/>
      </c>
      <c r="B339" s="19"/>
      <c r="C339" s="19"/>
      <c r="D339" s="19"/>
      <c r="E339" s="19"/>
      <c r="F339" s="19"/>
      <c r="G339" s="19"/>
      <c r="H339" s="19"/>
      <c r="I339" s="19"/>
      <c r="J339" s="19"/>
      <c r="K339" s="19"/>
      <c r="L339" s="19"/>
    </row>
    <row r="340" spans="1:12" ht="16.5" customHeight="1">
      <c r="A340" s="19" t="str">
        <f>IFERROR(VLOOKUP(#REF!,#REF!,17,FALSE),"")</f>
        <v/>
      </c>
      <c r="B340" s="19"/>
      <c r="C340" s="19"/>
      <c r="D340" s="19"/>
      <c r="E340" s="19"/>
      <c r="F340" s="19"/>
      <c r="G340" s="19"/>
      <c r="H340" s="19"/>
      <c r="I340" s="19"/>
      <c r="J340" s="19"/>
      <c r="K340" s="19"/>
      <c r="L340" s="19"/>
    </row>
    <row r="341" spans="1:12" ht="16.5" customHeight="1">
      <c r="A341" s="19" t="str">
        <f>IFERROR(VLOOKUP(#REF!,#REF!,17,FALSE),"")</f>
        <v/>
      </c>
      <c r="B341" s="19"/>
      <c r="C341" s="19"/>
      <c r="D341" s="19"/>
      <c r="E341" s="19"/>
      <c r="F341" s="19"/>
      <c r="G341" s="19"/>
      <c r="H341" s="19"/>
      <c r="I341" s="19"/>
      <c r="J341" s="19"/>
      <c r="K341" s="19"/>
      <c r="L341" s="19"/>
    </row>
    <row r="342" spans="1:12" ht="16.5" customHeight="1">
      <c r="A342" s="19" t="str">
        <f>IFERROR(VLOOKUP(#REF!,#REF!,17,FALSE),"")</f>
        <v/>
      </c>
      <c r="B342" s="19"/>
      <c r="C342" s="19"/>
      <c r="D342" s="19"/>
      <c r="E342" s="19"/>
      <c r="F342" s="19"/>
      <c r="G342" s="19"/>
      <c r="H342" s="19"/>
      <c r="I342" s="19"/>
      <c r="J342" s="19"/>
      <c r="K342" s="19"/>
      <c r="L342" s="19"/>
    </row>
    <row r="343" spans="1:12" ht="16.5" customHeight="1">
      <c r="A343" s="19" t="str">
        <f>IFERROR(VLOOKUP(#REF!,#REF!,17,FALSE),"")</f>
        <v/>
      </c>
      <c r="B343" s="19"/>
      <c r="C343" s="19"/>
      <c r="D343" s="19"/>
      <c r="E343" s="19"/>
      <c r="F343" s="19"/>
      <c r="G343" s="19"/>
      <c r="H343" s="19"/>
      <c r="I343" s="19"/>
      <c r="J343" s="19"/>
      <c r="K343" s="19"/>
      <c r="L343" s="19"/>
    </row>
    <row r="344" spans="1:12" ht="16.5" customHeight="1">
      <c r="A344" s="19" t="str">
        <f>IFERROR(VLOOKUP(#REF!,#REF!,17,FALSE),"")</f>
        <v/>
      </c>
      <c r="B344" s="19"/>
      <c r="C344" s="19"/>
      <c r="D344" s="19"/>
      <c r="E344" s="19"/>
      <c r="F344" s="19"/>
      <c r="G344" s="19"/>
      <c r="H344" s="19"/>
      <c r="I344" s="19"/>
      <c r="J344" s="19"/>
      <c r="K344" s="19"/>
      <c r="L344" s="19"/>
    </row>
    <row r="345" spans="1:12" ht="16.5" customHeight="1">
      <c r="A345" s="19" t="str">
        <f>IFERROR(VLOOKUP(#REF!,#REF!,17,FALSE),"")</f>
        <v/>
      </c>
      <c r="B345" s="19"/>
      <c r="C345" s="19"/>
      <c r="D345" s="19"/>
      <c r="E345" s="19"/>
      <c r="F345" s="19"/>
      <c r="G345" s="19"/>
      <c r="H345" s="19"/>
      <c r="I345" s="19"/>
      <c r="J345" s="19"/>
      <c r="K345" s="19"/>
      <c r="L345" s="19"/>
    </row>
    <row r="346" spans="1:12" ht="16.5" customHeight="1">
      <c r="A346" s="19" t="str">
        <f>IFERROR(VLOOKUP(#REF!,#REF!,17,FALSE),"")</f>
        <v/>
      </c>
      <c r="B346" s="19"/>
      <c r="C346" s="19"/>
      <c r="D346" s="19"/>
      <c r="E346" s="19"/>
      <c r="F346" s="19"/>
      <c r="G346" s="19"/>
      <c r="H346" s="19"/>
      <c r="I346" s="19"/>
      <c r="J346" s="19"/>
      <c r="K346" s="19"/>
      <c r="L346" s="19"/>
    </row>
    <row r="347" spans="1:12" ht="16.5" customHeight="1">
      <c r="A347" s="19" t="str">
        <f>IFERROR(VLOOKUP(#REF!,#REF!,17,FALSE),"")</f>
        <v/>
      </c>
      <c r="B347" s="19"/>
      <c r="C347" s="19"/>
      <c r="D347" s="19"/>
      <c r="E347" s="19"/>
      <c r="F347" s="19"/>
      <c r="G347" s="19"/>
      <c r="H347" s="19"/>
      <c r="I347" s="19"/>
      <c r="J347" s="19"/>
      <c r="K347" s="19"/>
      <c r="L347" s="19"/>
    </row>
    <row r="348" spans="1:12" ht="16.5" customHeight="1">
      <c r="A348" s="19" t="str">
        <f>IFERROR(VLOOKUP(#REF!,#REF!,17,FALSE),"")</f>
        <v/>
      </c>
      <c r="B348" s="19"/>
      <c r="C348" s="19"/>
      <c r="D348" s="19"/>
      <c r="E348" s="19"/>
      <c r="F348" s="19"/>
      <c r="G348" s="19"/>
      <c r="H348" s="19"/>
      <c r="I348" s="19"/>
      <c r="J348" s="19"/>
      <c r="K348" s="19"/>
      <c r="L348" s="19"/>
    </row>
    <row r="349" spans="1:12" ht="16.5" customHeight="1">
      <c r="A349" s="19" t="str">
        <f>IFERROR(VLOOKUP(#REF!,#REF!,17,FALSE),"")</f>
        <v/>
      </c>
      <c r="B349" s="19"/>
      <c r="C349" s="19"/>
      <c r="D349" s="19"/>
      <c r="E349" s="19"/>
      <c r="F349" s="19"/>
      <c r="G349" s="19"/>
      <c r="H349" s="19"/>
      <c r="I349" s="19"/>
      <c r="J349" s="19"/>
      <c r="K349" s="19"/>
      <c r="L349" s="19"/>
    </row>
    <row r="350" spans="1:12" ht="16.5" customHeight="1">
      <c r="A350" s="19" t="str">
        <f>IFERROR(VLOOKUP(#REF!,#REF!,17,FALSE),"")</f>
        <v/>
      </c>
      <c r="B350" s="19"/>
      <c r="C350" s="19"/>
      <c r="D350" s="19"/>
      <c r="E350" s="19"/>
      <c r="F350" s="19"/>
      <c r="G350" s="19"/>
      <c r="H350" s="19"/>
      <c r="I350" s="19"/>
      <c r="J350" s="19"/>
      <c r="K350" s="19"/>
      <c r="L350" s="19"/>
    </row>
    <row r="351" spans="1:12" ht="16.5" customHeight="1">
      <c r="A351" s="19" t="str">
        <f>IFERROR(VLOOKUP(#REF!,#REF!,17,FALSE),"")</f>
        <v/>
      </c>
      <c r="B351" s="19"/>
      <c r="C351" s="19"/>
      <c r="D351" s="19"/>
      <c r="E351" s="19"/>
      <c r="F351" s="19"/>
      <c r="G351" s="19"/>
      <c r="H351" s="19"/>
      <c r="I351" s="19"/>
      <c r="J351" s="19"/>
      <c r="K351" s="19"/>
      <c r="L351" s="19"/>
    </row>
    <row r="352" spans="1:12" ht="16.5" customHeight="1">
      <c r="A352" s="19" t="str">
        <f>IFERROR(VLOOKUP(#REF!,#REF!,17,FALSE),"")</f>
        <v/>
      </c>
      <c r="B352" s="19"/>
      <c r="C352" s="19"/>
      <c r="D352" s="19"/>
      <c r="E352" s="19"/>
      <c r="F352" s="19"/>
      <c r="G352" s="19"/>
      <c r="H352" s="19"/>
      <c r="I352" s="19"/>
      <c r="J352" s="19"/>
      <c r="K352" s="19"/>
      <c r="L352" s="19"/>
    </row>
    <row r="353" spans="1:12" ht="16.5" customHeight="1">
      <c r="A353" s="19" t="str">
        <f>IFERROR(VLOOKUP(#REF!,#REF!,17,FALSE),"")</f>
        <v/>
      </c>
      <c r="B353" s="19"/>
      <c r="C353" s="19"/>
      <c r="D353" s="19"/>
      <c r="E353" s="19"/>
      <c r="F353" s="19"/>
      <c r="G353" s="19"/>
      <c r="H353" s="19"/>
      <c r="I353" s="19"/>
      <c r="J353" s="19"/>
      <c r="L353" s="19"/>
    </row>
    <row r="354" spans="1:12" ht="16.5" customHeight="1">
      <c r="A354" s="19" t="str">
        <f>IFERROR(VLOOKUP(#REF!,#REF!,17,FALSE),"")</f>
        <v/>
      </c>
      <c r="B354" s="19"/>
      <c r="C354" s="19"/>
      <c r="D354" s="19"/>
      <c r="E354" s="19"/>
      <c r="F354" s="19"/>
      <c r="G354" s="19"/>
      <c r="I354" s="19"/>
      <c r="J354" s="19"/>
      <c r="L354" s="19"/>
    </row>
    <row r="355" spans="1:12" ht="16.5" customHeight="1">
      <c r="A355" s="19" t="str">
        <f>IFERROR(VLOOKUP(#REF!,#REF!,17,FALSE),"")</f>
        <v/>
      </c>
      <c r="B355" s="19"/>
      <c r="C355" s="19"/>
      <c r="D355" s="19"/>
      <c r="E355" s="19"/>
      <c r="F355" s="19"/>
      <c r="G355" s="19"/>
      <c r="L355" s="19"/>
    </row>
    <row r="356" spans="1:12" ht="16.5" customHeight="1">
      <c r="A356" s="19" t="str">
        <f>IFERROR(VLOOKUP(#REF!,#REF!,17,FALSE),"")</f>
        <v/>
      </c>
      <c r="B356" s="19"/>
      <c r="C356" s="19"/>
      <c r="D356" s="19"/>
      <c r="E356" s="19"/>
      <c r="F356" s="19"/>
      <c r="G356" s="19"/>
      <c r="L356" s="19"/>
    </row>
    <row r="357" spans="1:12" ht="16.5" customHeight="1">
      <c r="A357" s="19" t="str">
        <f>IFERROR(VLOOKUP(#REF!,#REF!,17,FALSE),"")</f>
        <v/>
      </c>
      <c r="B357" s="19"/>
      <c r="C357" s="19"/>
      <c r="D357" s="19"/>
      <c r="E357" s="19"/>
      <c r="F357" s="19"/>
      <c r="G357" s="19"/>
      <c r="L357" s="19"/>
    </row>
    <row r="358" spans="1:12" ht="16.5" customHeight="1">
      <c r="A358" s="19" t="str">
        <f>IFERROR(VLOOKUP(#REF!,#REF!,17,FALSE),"")</f>
        <v/>
      </c>
      <c r="B358" s="19"/>
      <c r="C358" s="19"/>
      <c r="D358" s="19"/>
      <c r="E358" s="19"/>
      <c r="F358" s="19"/>
      <c r="G358" s="19"/>
      <c r="L358" s="19"/>
    </row>
    <row r="359" spans="1:12" ht="16.5" customHeight="1">
      <c r="A359" s="19" t="str">
        <f>IFERROR(VLOOKUP(#REF!,#REF!,17,FALSE),"")</f>
        <v/>
      </c>
      <c r="B359" s="19"/>
      <c r="C359" s="19"/>
      <c r="D359" s="19"/>
      <c r="E359" s="19"/>
      <c r="F359" s="19"/>
      <c r="G359" s="19"/>
      <c r="L359" s="19"/>
    </row>
    <row r="360" spans="1:12" ht="16.5" customHeight="1">
      <c r="A360" s="19" t="str">
        <f>IFERROR(VLOOKUP(#REF!,#REF!,17,FALSE),"")</f>
        <v/>
      </c>
      <c r="B360" s="19"/>
      <c r="C360" s="19"/>
      <c r="D360" s="19"/>
      <c r="E360" s="19"/>
      <c r="F360" s="19"/>
      <c r="G360" s="19"/>
      <c r="L360" s="19"/>
    </row>
    <row r="361" spans="1:12" ht="16.5" customHeight="1">
      <c r="A361" s="19" t="str">
        <f>IFERROR(VLOOKUP(#REF!,#REF!,17,FALSE),"")</f>
        <v/>
      </c>
      <c r="B361" s="19"/>
      <c r="C361" s="19"/>
      <c r="D361" s="19"/>
      <c r="E361" s="19"/>
      <c r="F361" s="19"/>
      <c r="G361" s="19"/>
      <c r="L361" s="19"/>
    </row>
    <row r="362" spans="1:12" ht="16.5" customHeight="1">
      <c r="A362" s="19" t="str">
        <f>IFERROR(VLOOKUP(#REF!,#REF!,17,FALSE),"")</f>
        <v/>
      </c>
      <c r="B362" s="19"/>
      <c r="C362" s="19"/>
      <c r="D362" s="19"/>
      <c r="E362" s="19"/>
      <c r="F362" s="19"/>
      <c r="G362" s="19"/>
      <c r="L362" s="19"/>
    </row>
    <row r="363" spans="1:12" ht="16.5" customHeight="1">
      <c r="A363" s="19" t="str">
        <f>IFERROR(VLOOKUP(#REF!,#REF!,17,FALSE),"")</f>
        <v/>
      </c>
      <c r="B363" s="19"/>
      <c r="C363" s="19"/>
      <c r="D363" s="19"/>
      <c r="E363" s="19"/>
      <c r="F363" s="19"/>
      <c r="G363" s="19"/>
      <c r="L363" s="19"/>
    </row>
  </sheetData>
  <mergeCells count="112">
    <mergeCell ref="BY28:BZ28"/>
    <mergeCell ref="BY27:BZ27"/>
    <mergeCell ref="BY23:BZ23"/>
    <mergeCell ref="BY25:BZ25"/>
    <mergeCell ref="BY26:BZ26"/>
    <mergeCell ref="AU21:BE21"/>
    <mergeCell ref="AJ22:AN22"/>
    <mergeCell ref="AP22:AR22"/>
    <mergeCell ref="AS22:AT22"/>
    <mergeCell ref="AU22:BE22"/>
    <mergeCell ref="BT21:BU21"/>
    <mergeCell ref="AJ23:AN23"/>
    <mergeCell ref="AP23:AR23"/>
    <mergeCell ref="AS23:AT23"/>
    <mergeCell ref="AU23:BE23"/>
    <mergeCell ref="AJ24:AN24"/>
    <mergeCell ref="AP24:AR24"/>
    <mergeCell ref="AS24:AT24"/>
    <mergeCell ref="AU24:BE24"/>
    <mergeCell ref="AJ25:AL25"/>
    <mergeCell ref="AP25:AZ25"/>
    <mergeCell ref="BA25:BE25"/>
    <mergeCell ref="AJ26:AN26"/>
    <mergeCell ref="AP26:AZ26"/>
    <mergeCell ref="CF18:CG18"/>
    <mergeCell ref="CF41:CH41"/>
    <mergeCell ref="E1:G1"/>
    <mergeCell ref="AJ2:BE2"/>
    <mergeCell ref="AJ3:BE13"/>
    <mergeCell ref="BN2:CB2"/>
    <mergeCell ref="BN3:CB16"/>
    <mergeCell ref="AJ18:BE18"/>
    <mergeCell ref="AJ19:AL19"/>
    <mergeCell ref="AP19:AR19"/>
    <mergeCell ref="AS19:AT19"/>
    <mergeCell ref="AU19:BE19"/>
    <mergeCell ref="AJ20:AN20"/>
    <mergeCell ref="AP20:AR20"/>
    <mergeCell ref="AS20:AT20"/>
    <mergeCell ref="AU20:BE20"/>
    <mergeCell ref="AJ21:AN21"/>
    <mergeCell ref="AP21:AR21"/>
    <mergeCell ref="AS21:AT21"/>
    <mergeCell ref="BL20:BM20"/>
    <mergeCell ref="BL19:BM19"/>
    <mergeCell ref="BP19:BQ19"/>
    <mergeCell ref="BP20:BQ20"/>
    <mergeCell ref="BY19:BZ19"/>
    <mergeCell ref="BT19:BU19"/>
    <mergeCell ref="BT22:BU22"/>
    <mergeCell ref="BT24:BU24"/>
    <mergeCell ref="BT23:BU23"/>
    <mergeCell ref="BT20:BU20"/>
    <mergeCell ref="BY24:BZ24"/>
    <mergeCell ref="BY21:BZ21"/>
    <mergeCell ref="BY20:BZ20"/>
    <mergeCell ref="BY22:BZ22"/>
    <mergeCell ref="BA26:BB26"/>
    <mergeCell ref="BD26:BE26"/>
    <mergeCell ref="AJ27:AN27"/>
    <mergeCell ref="AP27:AZ27"/>
    <mergeCell ref="BA27:BB27"/>
    <mergeCell ref="BD27:BE27"/>
    <mergeCell ref="AJ28:AN28"/>
    <mergeCell ref="AP28:AZ28"/>
    <mergeCell ref="BA28:BB28"/>
    <mergeCell ref="BD28:BE28"/>
    <mergeCell ref="AJ29:AN29"/>
    <mergeCell ref="AP29:AZ29"/>
    <mergeCell ref="BA29:BB29"/>
    <mergeCell ref="BD29:BE29"/>
    <mergeCell ref="AJ31:AL31"/>
    <mergeCell ref="AS31:BC31"/>
    <mergeCell ref="BD31:BH31"/>
    <mergeCell ref="AS32:BC32"/>
    <mergeCell ref="BD32:BE32"/>
    <mergeCell ref="BG32:BH32"/>
    <mergeCell ref="AJ30:AN30"/>
    <mergeCell ref="AP30:AZ30"/>
    <mergeCell ref="BA30:BB30"/>
    <mergeCell ref="BD30:BE30"/>
    <mergeCell ref="AS33:BC33"/>
    <mergeCell ref="BD33:BE33"/>
    <mergeCell ref="BG33:BH33"/>
    <mergeCell ref="AJ32:AN32"/>
    <mergeCell ref="AJ33:AN33"/>
    <mergeCell ref="AP31:AR31"/>
    <mergeCell ref="AP32:AR32"/>
    <mergeCell ref="AP33:AR33"/>
    <mergeCell ref="BG34:BH34"/>
    <mergeCell ref="AJ34:AN34"/>
    <mergeCell ref="AP34:AR34"/>
    <mergeCell ref="AS34:BC34"/>
    <mergeCell ref="BD34:BE34"/>
    <mergeCell ref="AJ35:AN35"/>
    <mergeCell ref="AP35:AR35"/>
    <mergeCell ref="AS35:BC35"/>
    <mergeCell ref="BD35:BE35"/>
    <mergeCell ref="BG35:BH35"/>
    <mergeCell ref="AJ37:CB37"/>
    <mergeCell ref="AJ38:AK38"/>
    <mergeCell ref="AL38:AP38"/>
    <mergeCell ref="AQ38:AR38"/>
    <mergeCell ref="AS38:AW38"/>
    <mergeCell ref="AX38:AY38"/>
    <mergeCell ref="AZ38:BD38"/>
    <mergeCell ref="BE38:BF38"/>
    <mergeCell ref="BG38:BK38"/>
    <mergeCell ref="BL38:BM38"/>
    <mergeCell ref="BN38:BR38"/>
    <mergeCell ref="BS38:BU38"/>
    <mergeCell ref="BV38:CB38"/>
  </mergeCells>
  <phoneticPr fontId="49" type="noConversion"/>
  <dataValidations count="6">
    <dataValidation type="list" allowBlank="1" showInputMessage="1" sqref="AP20:AR24" xr:uid="{28820875-1C6C-4AAF-A577-0A3584401ADD}">
      <formula1>"普通,非普通,珍稀,极珍稀,传说,神器"</formula1>
    </dataValidation>
    <dataValidation allowBlank="1" showInputMessage="1" showErrorMessage="1" prompt="一枚铂金币价值十枚金币" sqref="BN38:BR38" xr:uid="{CD2D0A14-4DE4-496A-9CC0-62CC74B64966}"/>
    <dataValidation allowBlank="1" showInputMessage="1" showErrorMessage="1" prompt="十枚铜币值一枚银币_x000a_一百枚铜币值一枚金币" sqref="AL38:AP38" xr:uid="{BBF682D4-134B-4DC4-9E74-FC3868EB0DF2}"/>
    <dataValidation allowBlank="1" showInputMessage="1" showErrorMessage="1" prompt="十枚银币值一枚金币" sqref="AS38:AW38" xr:uid="{93886AC1-E4C8-45C9-8C21-99416C99BE6F}"/>
    <dataValidation allowBlank="1" showInputMessage="1" showErrorMessage="1" prompt="一枚金银币价值五枚银币，即半枚金币" sqref="AZ38:BD38" xr:uid="{79114830-CD07-41F6-AB22-EDE2EAD1AFF6}"/>
    <dataValidation allowBlank="1" showInputMessage="1" showErrorMessage="1" prompt="金币是度量财富的标准单位_x000a_一枚钱币的重量大约有三分之一盎司，50枚钱币则大约有一磅沉。" sqref="BG38:BK38" xr:uid="{40E81D3F-A04A-4A22-BA3B-BA4A3BBBC9B3}"/>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V317"/>
  <sheetViews>
    <sheetView zoomScale="70" zoomScaleNormal="70" workbookViewId="0">
      <pane xSplit="1" topLeftCell="B1" activePane="topRight" state="frozen"/>
      <selection activeCell="B5" sqref="B5:F5"/>
      <selection pane="topRight" activeCell="K26" sqref="K26"/>
    </sheetView>
  </sheetViews>
  <sheetFormatPr defaultColWidth="9" defaultRowHeight="16.5" customHeight="1"/>
  <cols>
    <col min="1" max="1" width="9" style="15" customWidth="1"/>
    <col min="2" max="70" width="9" style="15"/>
    <col min="71" max="72" width="9" style="340"/>
    <col min="73" max="16384" width="9" style="15"/>
  </cols>
  <sheetData>
    <row r="1" spans="1:74" ht="16.5" customHeight="1" thickBot="1">
      <c r="B1" s="246" t="s">
        <v>4606</v>
      </c>
      <c r="C1" s="247" t="s">
        <v>4607</v>
      </c>
      <c r="D1" s="248" t="s">
        <v>4608</v>
      </c>
      <c r="E1" s="249" t="s">
        <v>4609</v>
      </c>
      <c r="F1" s="250" t="s">
        <v>4610</v>
      </c>
      <c r="G1" s="251" t="s">
        <v>4611</v>
      </c>
      <c r="H1" s="252" t="s">
        <v>4612</v>
      </c>
      <c r="I1" s="253" t="s">
        <v>4613</v>
      </c>
      <c r="T1" s="16" t="s">
        <v>5813</v>
      </c>
      <c r="U1" s="16" t="s">
        <v>521</v>
      </c>
      <c r="V1" s="16" t="s">
        <v>5814</v>
      </c>
      <c r="W1" s="16" t="s">
        <v>521</v>
      </c>
      <c r="X1" s="16" t="s">
        <v>5815</v>
      </c>
      <c r="Y1" s="16" t="s">
        <v>521</v>
      </c>
      <c r="Z1" s="16" t="s">
        <v>5817</v>
      </c>
      <c r="AA1" s="16" t="s">
        <v>521</v>
      </c>
      <c r="AC1" s="777" t="s">
        <v>5830</v>
      </c>
      <c r="AD1" s="778"/>
      <c r="AE1" s="229" t="s">
        <v>5827</v>
      </c>
      <c r="AF1" s="230" t="s">
        <v>5831</v>
      </c>
      <c r="AH1" s="340" t="s">
        <v>5968</v>
      </c>
      <c r="AI1" s="340" t="s">
        <v>124</v>
      </c>
      <c r="AJ1" s="340" t="s">
        <v>5999</v>
      </c>
      <c r="AK1" s="340" t="s">
        <v>6000</v>
      </c>
      <c r="AL1" s="340" t="s">
        <v>124</v>
      </c>
      <c r="AN1" s="335" t="s">
        <v>5988</v>
      </c>
      <c r="AO1" s="336" t="s">
        <v>5989</v>
      </c>
      <c r="AP1" s="336" t="s">
        <v>5990</v>
      </c>
      <c r="AQ1" s="336" t="s">
        <v>5991</v>
      </c>
      <c r="AR1" s="336" t="s">
        <v>5992</v>
      </c>
      <c r="AS1" s="336" t="s">
        <v>5993</v>
      </c>
      <c r="AT1" s="336" t="s">
        <v>5994</v>
      </c>
      <c r="AU1" s="336" t="s">
        <v>5995</v>
      </c>
      <c r="AV1" s="336" t="s">
        <v>5996</v>
      </c>
      <c r="AW1" s="336" t="s">
        <v>5997</v>
      </c>
      <c r="AX1" s="337" t="s">
        <v>5998</v>
      </c>
      <c r="AY1" s="338" t="s">
        <v>6005</v>
      </c>
      <c r="AZ1" s="336" t="s">
        <v>5989</v>
      </c>
      <c r="BA1" s="336" t="s">
        <v>5990</v>
      </c>
      <c r="BB1" s="336" t="s">
        <v>5991</v>
      </c>
      <c r="BC1" s="336" t="s">
        <v>5992</v>
      </c>
      <c r="BD1" s="336" t="s">
        <v>5993</v>
      </c>
      <c r="BN1" s="15" t="s">
        <v>522</v>
      </c>
      <c r="BO1" s="15" t="s">
        <v>523</v>
      </c>
      <c r="BP1" s="15" t="s">
        <v>524</v>
      </c>
      <c r="BQ1" s="15" t="s">
        <v>525</v>
      </c>
      <c r="BS1" s="772" t="s">
        <v>4745</v>
      </c>
      <c r="BT1" s="773"/>
      <c r="BU1" s="340" t="s">
        <v>6071</v>
      </c>
      <c r="BV1" s="340" t="s">
        <v>6072</v>
      </c>
    </row>
    <row r="2" spans="1:74" ht="16.5" customHeight="1">
      <c r="A2" s="254"/>
      <c r="B2" s="254">
        <v>0</v>
      </c>
      <c r="C2" s="254">
        <v>1</v>
      </c>
      <c r="D2" s="254">
        <v>2</v>
      </c>
      <c r="E2" s="254">
        <v>3</v>
      </c>
      <c r="F2" s="254">
        <v>4</v>
      </c>
      <c r="G2" s="254">
        <v>5</v>
      </c>
      <c r="H2" s="254">
        <v>6</v>
      </c>
      <c r="I2" s="254">
        <v>7</v>
      </c>
      <c r="J2" s="254">
        <v>8</v>
      </c>
      <c r="K2" s="254">
        <v>9</v>
      </c>
      <c r="L2" s="254">
        <v>10</v>
      </c>
      <c r="M2" s="254">
        <v>11</v>
      </c>
      <c r="N2" s="254">
        <v>12</v>
      </c>
      <c r="O2" s="254">
        <v>13</v>
      </c>
      <c r="P2" s="254">
        <v>14</v>
      </c>
      <c r="Q2" s="254">
        <v>15</v>
      </c>
      <c r="R2" s="254">
        <v>16</v>
      </c>
      <c r="T2" s="15">
        <f>主要!E6</f>
        <v>0</v>
      </c>
      <c r="U2" s="16" t="str">
        <f>IFERROR(IF(VLOOKUP(T2,B3:R22,2,FALSE)=0,"",VLOOKUP(T2,B3:R22,2,FALSE)),"")</f>
        <v/>
      </c>
      <c r="V2" s="15">
        <f>主要!E7</f>
        <v>0</v>
      </c>
      <c r="W2" s="16" t="str">
        <f>IFERROR(IF(VLOOKUP(V2,B3:R22,2,FALSE)=0,"",VLOOKUP(V2,B3:R22,2,FALSE)),"")</f>
        <v/>
      </c>
      <c r="X2" s="15">
        <f>主要!E8</f>
        <v>0</v>
      </c>
      <c r="Y2" s="16" t="str">
        <f>IFERROR(IF(VLOOKUP(X2,B3:R22,2,FALSE)=0,"",VLOOKUP(X2,B3:R22,2,FALSE)),"")</f>
        <v/>
      </c>
      <c r="Z2" s="15">
        <f>主要!AW9</f>
        <v>0</v>
      </c>
      <c r="AA2" s="16" t="str">
        <f>IFERROR(IF(VLOOKUP(Z2,B3:R22,2,FALSE)=0,"",VLOOKUP(Z2,B3:R22,2,FALSE)),"")</f>
        <v/>
      </c>
      <c r="AC2" s="224" t="s">
        <v>230</v>
      </c>
      <c r="AD2" s="230" t="s">
        <v>6494</v>
      </c>
      <c r="AE2" s="231" t="str">
        <f>IFERROR(VLOOKUP(主要!E6,AC2:AD14,2,FALSE),"")</f>
        <v/>
      </c>
      <c r="AF2" s="226">
        <f>IFERROR(VLOOKUP(AE2,AC16:AD19,2,FALSE),0)</f>
        <v>0</v>
      </c>
      <c r="AH2" s="340" t="s">
        <v>169</v>
      </c>
      <c r="AI2" s="340">
        <f>IFERROR(VLOOKUP(AH2,$AJ$2:$AL$4,3,0),0)</f>
        <v>0</v>
      </c>
      <c r="AJ2" s="340">
        <f>IF(主要!E6="",0,主要!E6)</f>
        <v>0</v>
      </c>
      <c r="AK2" s="340">
        <f>IF(主要!I6="",0,主要!I6)</f>
        <v>0</v>
      </c>
      <c r="AL2" s="340">
        <f>IF(主要!O6="",0,主要!O6)</f>
        <v>1</v>
      </c>
      <c r="AN2" s="339">
        <v>0</v>
      </c>
      <c r="AO2" s="340"/>
      <c r="AP2" s="340"/>
      <c r="AQ2" s="340"/>
      <c r="AR2" s="340"/>
      <c r="AS2" s="340"/>
      <c r="AT2" s="340"/>
      <c r="AU2" s="340"/>
      <c r="AV2" s="340"/>
      <c r="AW2" s="340"/>
      <c r="AX2" s="340"/>
      <c r="AY2" s="339">
        <v>0</v>
      </c>
      <c r="AZ2" s="340"/>
      <c r="BA2" s="340"/>
      <c r="BB2" s="340"/>
      <c r="BC2" s="340"/>
      <c r="BD2" s="340"/>
      <c r="BH2" s="15" t="s">
        <v>527</v>
      </c>
      <c r="BI2" s="15" t="s">
        <v>528</v>
      </c>
      <c r="BJ2" s="15" t="s">
        <v>524</v>
      </c>
      <c r="BK2" s="15" t="s">
        <v>525</v>
      </c>
      <c r="BM2" s="16" t="str">
        <f>IF(主要!AW9&lt;&gt;"",主要!AW9,"")</f>
        <v/>
      </c>
      <c r="BN2" s="16" t="str">
        <f>IFERROR(VLOOKUP(BM2,BG3:BK131,2,FALSE),"")</f>
        <v/>
      </c>
      <c r="BO2" s="16" t="str">
        <f>IFERROR(VLOOKUP(BM2,BG3:BK131,3,FALSE),"")</f>
        <v/>
      </c>
      <c r="BP2" s="16" t="str">
        <f>IFERROR(VLOOKUP(BM2,BG3:BK131,4,FALSE),"")</f>
        <v/>
      </c>
      <c r="BQ2" s="16" t="str">
        <f>IFERROR(VLOOKUP(BM2,BG3:BK131,5,FALSE),"")</f>
        <v/>
      </c>
      <c r="BS2" s="412" t="str">
        <f>IFERROR(IF(OR(BN6="",COUNTIF($BU$2:$BU$68,BN6)),"",BN6),"")</f>
        <v/>
      </c>
      <c r="BT2" s="413" t="str" cm="1">
        <f t="array" ref="BT2">INDEX(BS:BS,SMALL(IF($BS$2:$BS$101&lt;&gt;"",ROW($BS$2:$BS$101),142),ROW(BS1)))&amp;""</f>
        <v/>
      </c>
      <c r="BU2" s="16" t="str">
        <f>IF(主要!AX11="","",主要!AX11)</f>
        <v/>
      </c>
      <c r="BV2" s="16" t="str">
        <f>IFERROR(VLOOKUP(BU2,$BN$6:$BO$105,2,FALSE),"")</f>
        <v/>
      </c>
    </row>
    <row r="3" spans="1:74" ht="16.5" customHeight="1">
      <c r="A3" s="254">
        <v>1</v>
      </c>
      <c r="B3" s="254" t="s">
        <v>169</v>
      </c>
      <c r="C3" s="255" t="s">
        <v>465</v>
      </c>
      <c r="D3" s="255" t="s">
        <v>466</v>
      </c>
      <c r="E3" s="256" t="s">
        <v>467</v>
      </c>
      <c r="F3" s="256" t="s">
        <v>468</v>
      </c>
      <c r="G3" s="256" t="s">
        <v>469</v>
      </c>
      <c r="H3" s="257" t="s">
        <v>470</v>
      </c>
      <c r="I3" s="258" t="s">
        <v>471</v>
      </c>
      <c r="J3" s="259" t="s">
        <v>472</v>
      </c>
      <c r="K3" s="260" t="s">
        <v>4569</v>
      </c>
      <c r="L3" s="254"/>
      <c r="M3" s="254"/>
      <c r="N3" s="254"/>
      <c r="O3" s="254"/>
      <c r="P3" s="254"/>
      <c r="Q3" s="254"/>
      <c r="R3" s="254"/>
      <c r="U3" s="16" t="str">
        <f>IFERROR(IF(VLOOKUP(T2,B3:R22,3,FALSE)=0,"",VLOOKUP(T2,B3:R22,3,FALSE)),"")</f>
        <v/>
      </c>
      <c r="W3" s="16" t="str">
        <f>IFERROR(IF(VLOOKUP(V2,B3:R22,3,FALSE)=0,"",VLOOKUP(V2,B3:R22,3,FALSE)),"")</f>
        <v/>
      </c>
      <c r="Y3" s="16" t="str">
        <f>IFERROR(IF(VLOOKUP(X2,B3:R22,3,FALSE)=0,"",VLOOKUP(X2,B3:R22,3,FALSE)),"")</f>
        <v/>
      </c>
      <c r="AA3" s="16" t="str">
        <f>IFERROR(IF(VLOOKUP(Z2,B3:R22,3,FALSE)=0,"",VLOOKUP(Z2,B3:R22,3,FALSE)),"")</f>
        <v/>
      </c>
      <c r="AC3" s="225" t="s">
        <v>221</v>
      </c>
      <c r="AD3" s="226" t="s">
        <v>6494</v>
      </c>
      <c r="AE3" s="231" t="str">
        <f>IFERROR(VLOOKUP(主要!E7,AC2:AD14,2,FALSE),"")</f>
        <v/>
      </c>
      <c r="AF3" s="226">
        <f>IFERROR(VLOOKUP(AE3,AC16:AD19,2,FALSE),0)</f>
        <v>0</v>
      </c>
      <c r="AH3" s="340" t="s">
        <v>175</v>
      </c>
      <c r="AI3" s="340">
        <f t="shared" ref="AI3:AI13" si="0">IFERROR(VLOOKUP(AH3,$AJ$2:$AL$4,3,0),0)</f>
        <v>0</v>
      </c>
      <c r="AJ3" s="340">
        <f>IF(主要!E7="",0,主要!E7)</f>
        <v>0</v>
      </c>
      <c r="AK3" s="340">
        <f>IF(主要!I7="",0,主要!I7)</f>
        <v>0</v>
      </c>
      <c r="AL3" s="340">
        <f>IF(主要!O7="",0,主要!O7)</f>
        <v>0</v>
      </c>
      <c r="AN3" s="341">
        <v>1</v>
      </c>
      <c r="AO3" s="342">
        <v>2</v>
      </c>
      <c r="AP3" s="342"/>
      <c r="AQ3" s="342"/>
      <c r="AR3" s="342"/>
      <c r="AS3" s="342"/>
      <c r="AT3" s="342"/>
      <c r="AU3" s="342"/>
      <c r="AV3" s="342"/>
      <c r="AW3" s="342"/>
      <c r="AX3" s="342">
        <v>4</v>
      </c>
      <c r="AY3" s="341">
        <v>1</v>
      </c>
      <c r="AZ3" s="342">
        <v>1</v>
      </c>
      <c r="BA3" s="342"/>
      <c r="BB3" s="342"/>
      <c r="BC3" s="342"/>
      <c r="BD3" s="342"/>
      <c r="BG3" s="15" t="s">
        <v>169</v>
      </c>
      <c r="BH3" s="15">
        <v>1</v>
      </c>
      <c r="BI3" s="15">
        <v>2</v>
      </c>
      <c r="BJ3" s="15">
        <v>1</v>
      </c>
      <c r="BK3" s="15" cm="1">
        <f t="array" ref="BK3">_xlfn.IFS($AI$2&gt;=20,19,$AI$2&gt;=18,18,$AI$2&gt;=15,17,$AI$2&gt;=11,16,$AI$2&gt;=9,15,$AI$2&gt;=7,14,$AI$2&gt;=5,12,$AI$2&gt;=4,10,$AI$2&gt;=3,9,$AI$2&gt;=2,7,$AI$2&gt;=1,5,1,0)</f>
        <v>0</v>
      </c>
      <c r="BM3" s="16" t="str">
        <f>IF(主要!BD9&lt;&gt;"",主要!BD9,"")</f>
        <v/>
      </c>
      <c r="BN3" s="15" t="s">
        <v>526</v>
      </c>
      <c r="BO3" s="15" t="s">
        <v>526</v>
      </c>
      <c r="BP3" s="16" t="str">
        <f>IFERROR(VLOOKUP(BM3,BG3:BK131,4,FALSE),"")</f>
        <v/>
      </c>
      <c r="BQ3" s="16" t="str">
        <f>IFERROR(VLOOKUP(BM3,BG3:BK131,5,FALSE),"")</f>
        <v/>
      </c>
      <c r="BS3" s="412" t="str">
        <f t="shared" ref="BS3:BS66" si="1">IFERROR(IF(OR(BN7="",COUNTIF($BU$2:$BU$68,BN7)),"",BN7),"")</f>
        <v/>
      </c>
      <c r="BT3" s="413" t="str" cm="1">
        <f t="array" ref="BT3">INDEX(BS:BS,SMALL(IF($BS$2:$BS$101&lt;&gt;"",ROW($BS$2:$BS$101),142),ROW(BS2)))&amp;""</f>
        <v/>
      </c>
      <c r="BU3" s="16" t="str">
        <f>IF(主要!AX12="","",主要!AX12)</f>
        <v/>
      </c>
      <c r="BV3" s="16" t="str">
        <f t="shared" ref="BV3:BV66" si="2">IFERROR(VLOOKUP(BU3,$BN$6:$BO$105,2,FALSE),"")</f>
        <v/>
      </c>
    </row>
    <row r="4" spans="1:74" ht="16.5" customHeight="1" thickBot="1">
      <c r="A4" s="254">
        <v>2</v>
      </c>
      <c r="B4" s="254" t="s">
        <v>175</v>
      </c>
      <c r="C4" s="255" t="s">
        <v>3576</v>
      </c>
      <c r="D4" s="255" t="s">
        <v>3577</v>
      </c>
      <c r="E4" s="256" t="s">
        <v>3578</v>
      </c>
      <c r="F4" s="256" t="s">
        <v>3579</v>
      </c>
      <c r="G4" s="256" t="s">
        <v>3580</v>
      </c>
      <c r="H4" s="259" t="s">
        <v>3581</v>
      </c>
      <c r="I4" s="259" t="s">
        <v>3582</v>
      </c>
      <c r="J4" s="261" t="s">
        <v>4576</v>
      </c>
      <c r="K4" s="254"/>
      <c r="L4" s="254"/>
      <c r="M4" s="254"/>
      <c r="N4" s="254"/>
      <c r="O4" s="254"/>
      <c r="P4" s="254"/>
      <c r="Q4" s="254"/>
      <c r="R4" s="254"/>
      <c r="U4" s="16" t="str">
        <f>IFERROR(IF(VLOOKUP(T2,B3:R22,4,FALSE)=0,"",VLOOKUP(T2,B3:R22,4,FALSE)),"")</f>
        <v/>
      </c>
      <c r="W4" s="16" t="str">
        <f>IFERROR(IF(VLOOKUP(V2,B3:R22,4,FALSE)=0,"",VLOOKUP(V2,B3:R22,4,FALSE)),"")</f>
        <v/>
      </c>
      <c r="Y4" s="16" t="str">
        <f>IFERROR(IF(VLOOKUP(X2,B3:R22,4,FALSE)=0,"",VLOOKUP(X2,B3:R22,4,FALSE)),"")</f>
        <v/>
      </c>
      <c r="AA4" s="16" t="str">
        <f>IFERROR(IF(VLOOKUP(Z2,B3:R22,4,FALSE)=0,"",VLOOKUP(Z2,B3:R22,4,FALSE)),"")</f>
        <v/>
      </c>
      <c r="AC4" s="225" t="s">
        <v>175</v>
      </c>
      <c r="AD4" s="226" t="s">
        <v>6495</v>
      </c>
      <c r="AE4" s="262" t="str">
        <f>IFERROR(VLOOKUP(主要!E8,AC2:AD14,2,FALSE),"")</f>
        <v/>
      </c>
      <c r="AF4" s="228">
        <f>IFERROR(VLOOKUP(AE4,AC16:AD19,2,FALSE),0)</f>
        <v>0</v>
      </c>
      <c r="AH4" s="340" t="s">
        <v>197</v>
      </c>
      <c r="AI4" s="340">
        <f t="shared" si="0"/>
        <v>0</v>
      </c>
      <c r="AJ4" s="340">
        <f>IF(主要!E8="",0,主要!E8)</f>
        <v>0</v>
      </c>
      <c r="AK4" s="340">
        <f>IF(主要!I8="",0,主要!I8)</f>
        <v>0</v>
      </c>
      <c r="AL4" s="340">
        <f>IF(主要!O8="",0,主要!O8)</f>
        <v>0</v>
      </c>
      <c r="AN4" s="335">
        <v>2</v>
      </c>
      <c r="AO4" s="336">
        <v>3</v>
      </c>
      <c r="AP4" s="336"/>
      <c r="AQ4" s="336"/>
      <c r="AR4" s="336"/>
      <c r="AS4" s="336"/>
      <c r="AT4" s="336"/>
      <c r="AU4" s="336"/>
      <c r="AV4" s="336"/>
      <c r="AW4" s="336"/>
      <c r="AX4" s="336">
        <v>6</v>
      </c>
      <c r="AY4" s="335">
        <v>2</v>
      </c>
      <c r="AZ4" s="336">
        <v>2</v>
      </c>
      <c r="BA4" s="336"/>
      <c r="BB4" s="336"/>
      <c r="BC4" s="336"/>
      <c r="BD4" s="336"/>
      <c r="BG4" s="15" t="s">
        <v>175</v>
      </c>
      <c r="BH4" s="15">
        <v>3</v>
      </c>
      <c r="BI4" s="15">
        <v>4</v>
      </c>
      <c r="BJ4" s="15">
        <v>1</v>
      </c>
      <c r="BK4" s="15" cm="1">
        <f t="array" ref="BK4">_xlfn.IFS($AI$3&gt;=20,22,$AI$3&gt;=10,21,$AI$3&gt;=6,20,$AI$3&gt;=5,19,$AI$3&gt;=4,18,$AI$3&gt;=3,16,$AI$3&gt;=2,13,$AI$3&gt;=1,11,1,0)</f>
        <v>0</v>
      </c>
      <c r="BS4" s="412" t="str">
        <f t="shared" si="1"/>
        <v/>
      </c>
      <c r="BT4" s="413" t="str" cm="1">
        <f t="array" ref="BT4">INDEX(BS:BS,SMALL(IF($BS$2:$BS$101&lt;&gt;"",ROW($BS$2:$BS$101),142),ROW(BS3)))&amp;""</f>
        <v/>
      </c>
      <c r="BU4" s="16" t="str">
        <f>IF(主要!AX13="","",主要!AX13)</f>
        <v/>
      </c>
      <c r="BV4" s="16" t="str">
        <f t="shared" si="2"/>
        <v/>
      </c>
    </row>
    <row r="5" spans="1:74" ht="16.5" customHeight="1">
      <c r="A5" s="254">
        <v>3</v>
      </c>
      <c r="B5" s="254" t="s">
        <v>197</v>
      </c>
      <c r="C5" s="255" t="s">
        <v>3584</v>
      </c>
      <c r="D5" s="255" t="s">
        <v>3585</v>
      </c>
      <c r="E5" s="255" t="s">
        <v>3586</v>
      </c>
      <c r="F5" s="255" t="s">
        <v>3587</v>
      </c>
      <c r="G5" s="255" t="s">
        <v>3588</v>
      </c>
      <c r="H5" s="255" t="s">
        <v>3589</v>
      </c>
      <c r="I5" s="255" t="s">
        <v>3590</v>
      </c>
      <c r="J5" s="256" t="s">
        <v>3591</v>
      </c>
      <c r="K5" s="256" t="s">
        <v>3592</v>
      </c>
      <c r="L5" s="263" t="s">
        <v>3593</v>
      </c>
      <c r="M5" s="258" t="s">
        <v>3594</v>
      </c>
      <c r="N5" s="258" t="s">
        <v>3595</v>
      </c>
      <c r="O5" s="259" t="s">
        <v>3596</v>
      </c>
      <c r="P5" s="254"/>
      <c r="Q5" s="254"/>
      <c r="R5" s="254"/>
      <c r="U5" s="16" t="str">
        <f>IFERROR(IF(VLOOKUP(T2,B3:R22,5,FALSE)=0,"",VLOOKUP(T2,B3:R22,5,FALSE)),"")</f>
        <v/>
      </c>
      <c r="W5" s="16" t="str">
        <f>IFERROR(IF(VLOOKUP(V2,B3:R22,5,FALSE)=0,"",VLOOKUP(V2,B3:R22,5,FALSE)),"")</f>
        <v/>
      </c>
      <c r="Y5" s="16" t="str">
        <f>IFERROR(IF(VLOOKUP(X2,B3:R22,5,FALSE)=0,"",VLOOKUP(X2,B3:R22,5,FALSE)),"")</f>
        <v/>
      </c>
      <c r="AA5" s="16" t="str">
        <f>IFERROR(IF(VLOOKUP(Z2,B3:R22,5,FALSE)=0,"",VLOOKUP(Z2,B3:R22,5,FALSE)),"")</f>
        <v/>
      </c>
      <c r="AC5" s="225" t="s">
        <v>197</v>
      </c>
      <c r="AD5" s="226" t="s">
        <v>6495</v>
      </c>
      <c r="AE5" s="81"/>
      <c r="AF5" s="81"/>
      <c r="AH5" s="340" t="s">
        <v>209</v>
      </c>
      <c r="AI5" s="340">
        <f t="shared" si="0"/>
        <v>0</v>
      </c>
      <c r="AJ5" s="340"/>
      <c r="AK5" s="340"/>
      <c r="AL5" s="340"/>
      <c r="AN5" s="341">
        <v>3</v>
      </c>
      <c r="AO5" s="342">
        <v>4</v>
      </c>
      <c r="AP5" s="342">
        <v>2</v>
      </c>
      <c r="AQ5" s="342"/>
      <c r="AR5" s="342"/>
      <c r="AS5" s="342"/>
      <c r="AT5" s="342"/>
      <c r="AU5" s="342"/>
      <c r="AV5" s="342"/>
      <c r="AW5" s="342"/>
      <c r="AX5" s="342">
        <v>14</v>
      </c>
      <c r="AY5" s="341">
        <v>3</v>
      </c>
      <c r="AZ5" s="342"/>
      <c r="BA5" s="342">
        <v>2</v>
      </c>
      <c r="BB5" s="342"/>
      <c r="BC5" s="342"/>
      <c r="BD5" s="342"/>
      <c r="BG5" s="15" t="s">
        <v>197</v>
      </c>
      <c r="BH5" s="15">
        <v>5</v>
      </c>
      <c r="BI5" s="15">
        <v>6</v>
      </c>
      <c r="BJ5" s="15">
        <v>1</v>
      </c>
      <c r="BK5" s="15" cm="1">
        <f t="array" ref="BK5">_xlfn.IFS($AI$4&gt;=10,19,$AI$4&gt;=8,18,$AI$4&gt;=5,17,$AI$4&gt;=4,16,$AI$4&gt;=2,14,$AI$4&gt;=1,11,1,0)</f>
        <v>0</v>
      </c>
      <c r="BM5" s="16">
        <v>0</v>
      </c>
      <c r="BN5" s="16" t="s">
        <v>76</v>
      </c>
      <c r="BO5" s="16" t="s">
        <v>132</v>
      </c>
      <c r="BP5" s="16" t="s">
        <v>529</v>
      </c>
      <c r="BS5" s="412" t="str">
        <f t="shared" si="1"/>
        <v/>
      </c>
      <c r="BT5" s="413" t="str" cm="1">
        <f t="array" ref="BT5">INDEX(BS:BS,SMALL(IF($BS$2:$BS$101&lt;&gt;"",ROW($BS$2:$BS$101),142),ROW(BS4)))&amp;""</f>
        <v/>
      </c>
      <c r="BU5" s="16" t="str">
        <f>IF(主要!AX14="","",主要!AX14)</f>
        <v/>
      </c>
      <c r="BV5" s="16" t="str">
        <f t="shared" si="2"/>
        <v/>
      </c>
    </row>
    <row r="6" spans="1:74" ht="16.5" customHeight="1">
      <c r="A6" s="254">
        <v>4</v>
      </c>
      <c r="B6" s="254" t="s">
        <v>209</v>
      </c>
      <c r="C6" s="255" t="s">
        <v>3597</v>
      </c>
      <c r="D6" s="255" t="s">
        <v>3687</v>
      </c>
      <c r="E6" s="256" t="s">
        <v>3598</v>
      </c>
      <c r="F6" s="256" t="s">
        <v>3599</v>
      </c>
      <c r="G6" s="264" t="s">
        <v>3600</v>
      </c>
      <c r="H6" s="264" t="s">
        <v>3601</v>
      </c>
      <c r="I6" s="264" t="s">
        <v>3602</v>
      </c>
      <c r="J6" s="254"/>
      <c r="K6" s="254"/>
      <c r="L6" s="254"/>
      <c r="M6" s="254"/>
      <c r="N6" s="254"/>
      <c r="O6" s="254"/>
      <c r="P6" s="254"/>
      <c r="Q6" s="254"/>
      <c r="R6" s="254"/>
      <c r="U6" s="16" t="str">
        <f>IFERROR(IF(VLOOKUP(T2,B3:R22,6,FALSE)=0,"",VLOOKUP(T2,B3:R22,6,FALSE)),"")</f>
        <v/>
      </c>
      <c r="W6" s="16" t="str">
        <f>IFERROR(IF(VLOOKUP(V2,B3:R22,6,FALSE)=0,"",VLOOKUP(V2,B3:R22,6,FALSE)),"")</f>
        <v/>
      </c>
      <c r="Y6" s="16" t="str">
        <f>IFERROR(IF(VLOOKUP(X2,B3:R22,6,FALSE)=0,"",VLOOKUP(X2,B3:R22,6,FALSE)),"")</f>
        <v/>
      </c>
      <c r="AA6" s="16" t="str">
        <f>IFERROR(IF(VLOOKUP(Z2,B3:R22,6,FALSE)=0,"",VLOOKUP(Z2,B3:R22,6,FALSE)),"")</f>
        <v/>
      </c>
      <c r="AC6" s="225" t="s">
        <v>209</v>
      </c>
      <c r="AD6" s="226" t="s">
        <v>6495</v>
      </c>
      <c r="AE6" s="232" t="s">
        <v>5833</v>
      </c>
      <c r="AF6" s="232">
        <f>主要!O6+主要!O7+主要!O8</f>
        <v>1</v>
      </c>
      <c r="AH6" s="340" t="s">
        <v>180</v>
      </c>
      <c r="AI6" s="340">
        <f t="shared" si="0"/>
        <v>0</v>
      </c>
      <c r="AJ6" s="340"/>
      <c r="AK6" s="340" t="s">
        <v>479</v>
      </c>
      <c r="AL6" s="340">
        <f>IF(AK2="奥法骑士",AL2,IF(AK3="奥法骑士",AL3,IF(AK4="奥法骑士",AL4,0)))</f>
        <v>0</v>
      </c>
      <c r="AN6" s="335">
        <v>4</v>
      </c>
      <c r="AO6" s="336">
        <v>4</v>
      </c>
      <c r="AP6" s="336">
        <v>3</v>
      </c>
      <c r="AQ6" s="336"/>
      <c r="AR6" s="336"/>
      <c r="AS6" s="336"/>
      <c r="AT6" s="336"/>
      <c r="AU6" s="336"/>
      <c r="AV6" s="336"/>
      <c r="AW6" s="336"/>
      <c r="AX6" s="336">
        <v>17</v>
      </c>
      <c r="AY6" s="335">
        <v>4</v>
      </c>
      <c r="AZ6" s="336"/>
      <c r="BA6" s="336">
        <v>2</v>
      </c>
      <c r="BB6" s="336"/>
      <c r="BC6" s="336"/>
      <c r="BD6" s="336"/>
      <c r="BG6" s="15" t="s">
        <v>209</v>
      </c>
      <c r="BH6" s="15">
        <v>7</v>
      </c>
      <c r="BI6" s="15">
        <v>8</v>
      </c>
      <c r="BJ6" s="15">
        <v>1</v>
      </c>
      <c r="BK6" s="15" cm="1">
        <f t="array" ref="BK6">_xlfn.IFS($AI$5&gt;=20,19,$AI$5&gt;=18,18,$AI$5&gt;=4,16,$AI$5&gt;=2,14,$AI$5&gt;=1,11,1,0)</f>
        <v>0</v>
      </c>
      <c r="BM6" s="16">
        <f>IFERROR(IF(BM5+1&gt;BQ2,IF(BM5+1&gt;BQ2,IF(BP3+BP5&gt;BQ3,"",BP3+BP5)),BM5+1),"")</f>
        <v>1</v>
      </c>
      <c r="BN6" s="16" t="str">
        <f>IFERROR(INDEX(B30:AO180,BM6,BN2),"")</f>
        <v/>
      </c>
      <c r="BO6" s="16" t="str">
        <f>IFERROR(INDEX(B30:AO180,BM6,BO2),"")</f>
        <v/>
      </c>
      <c r="BP6" s="16">
        <f>IFERROR(IF(BM5+1&gt;BQ2,BP5+1,0),"")</f>
        <v>0</v>
      </c>
      <c r="BS6" s="412" t="str">
        <f t="shared" si="1"/>
        <v/>
      </c>
      <c r="BT6" s="413" t="str" cm="1">
        <f t="array" ref="BT6">INDEX(BS:BS,SMALL(IF($BS$2:$BS$101&lt;&gt;"",ROW($BS$2:$BS$101),142),ROW(BS5)))&amp;""</f>
        <v/>
      </c>
      <c r="BU6" s="16" t="str">
        <f>IF(主要!AX15="","",主要!AX15)</f>
        <v/>
      </c>
      <c r="BV6" s="16" t="str">
        <f t="shared" si="2"/>
        <v/>
      </c>
    </row>
    <row r="7" spans="1:74" ht="16.5" customHeight="1">
      <c r="A7" s="254">
        <v>5</v>
      </c>
      <c r="B7" s="254" t="s">
        <v>180</v>
      </c>
      <c r="C7" s="255" t="s">
        <v>477</v>
      </c>
      <c r="D7" s="255" t="s">
        <v>478</v>
      </c>
      <c r="E7" s="255" t="s">
        <v>479</v>
      </c>
      <c r="F7" s="256" t="s">
        <v>480</v>
      </c>
      <c r="G7" s="256" t="s">
        <v>481</v>
      </c>
      <c r="H7" s="256" t="s">
        <v>482</v>
      </c>
      <c r="I7" s="263" t="s">
        <v>483</v>
      </c>
      <c r="J7" s="265" t="s">
        <v>484</v>
      </c>
      <c r="K7" s="259" t="s">
        <v>485</v>
      </c>
      <c r="L7" s="259" t="s">
        <v>486</v>
      </c>
      <c r="M7" s="254"/>
      <c r="N7" s="254"/>
      <c r="O7" s="254"/>
      <c r="P7" s="254"/>
      <c r="Q7" s="254"/>
      <c r="R7" s="254"/>
      <c r="U7" s="16" t="str">
        <f>IFERROR(IF(VLOOKUP(T2,B3:R22,7,FALSE)=0,"",VLOOKUP(T2,B3:R22,7,FALSE)),"")</f>
        <v/>
      </c>
      <c r="W7" s="16" t="str">
        <f>IFERROR(IF(VLOOKUP(V2,B3:R22,7,FALSE)=0,"",VLOOKUP(V2,B3:R22,7,FALSE)),"")</f>
        <v/>
      </c>
      <c r="Y7" s="16" t="str">
        <f>IFERROR(IF(VLOOKUP(X2,B3:R22,7,FALSE)=0,"",VLOOKUP(X2,B3:R22,7,FALSE)),"")</f>
        <v/>
      </c>
      <c r="AA7" s="16" t="str">
        <f>IFERROR(IF(VLOOKUP(Z2,B3:R22,7,FALSE)=0,"",VLOOKUP(Z2,B3:R22,7,FALSE)),"")</f>
        <v/>
      </c>
      <c r="AC7" s="225" t="s">
        <v>215</v>
      </c>
      <c r="AD7" s="226" t="s">
        <v>6495</v>
      </c>
      <c r="AE7" s="232" t="s">
        <v>5832</v>
      </c>
      <c r="AF7" s="232">
        <f>IFERROR(VLOOKUP(AE2,AC21:AD24,2,FALSE),0)</f>
        <v>0</v>
      </c>
      <c r="AH7" s="340" t="s">
        <v>215</v>
      </c>
      <c r="AI7" s="340">
        <f t="shared" si="0"/>
        <v>0</v>
      </c>
      <c r="AJ7" s="340"/>
      <c r="AK7" s="340" t="s">
        <v>504</v>
      </c>
      <c r="AL7" s="340">
        <f>IF(AK2="诡术师",AL2,IF(AK3="诡术师",AL3,IF(AK4="诡术师",AL4,0)))</f>
        <v>0</v>
      </c>
      <c r="AN7" s="341">
        <v>5</v>
      </c>
      <c r="AO7" s="342">
        <v>4</v>
      </c>
      <c r="AP7" s="342">
        <v>3</v>
      </c>
      <c r="AQ7" s="342">
        <v>2</v>
      </c>
      <c r="AR7" s="342"/>
      <c r="AS7" s="342"/>
      <c r="AT7" s="342"/>
      <c r="AU7" s="342"/>
      <c r="AV7" s="342"/>
      <c r="AW7" s="342"/>
      <c r="AX7" s="342">
        <v>27</v>
      </c>
      <c r="AY7" s="341">
        <v>5</v>
      </c>
      <c r="AZ7" s="342"/>
      <c r="BA7" s="342"/>
      <c r="BB7" s="342">
        <v>2</v>
      </c>
      <c r="BC7" s="342"/>
      <c r="BD7" s="342"/>
      <c r="BG7" s="15" t="s">
        <v>180</v>
      </c>
      <c r="BH7" s="15">
        <v>9</v>
      </c>
      <c r="BI7" s="15">
        <v>10</v>
      </c>
      <c r="BJ7" s="15">
        <v>1</v>
      </c>
      <c r="BK7" s="15" cm="1">
        <f t="array" ref="BK7">_xlfn.IFS($AI$6&gt;=9,12,$AI$6&gt;=5,11,$AI$6&gt;=4,10,$AI$6&gt;=3,8,$AI$6&gt;=2,7,$AI$6&gt;=1,6,1,0)</f>
        <v>0</v>
      </c>
      <c r="BM7" s="16">
        <f>IFERROR(IF(BM6+1&gt;BQ2,IF(BM6+1&gt;BQ2,IF(BP3+BP6&gt;BQ3,"",BP3+BP6)),BM6+1),"")</f>
        <v>2</v>
      </c>
      <c r="BN7" s="16" t="str">
        <f>IFERROR(INDEX(B30:AO180,BM7,BN2),"")</f>
        <v/>
      </c>
      <c r="BO7" s="16" t="str">
        <f>IFERROR(INDEX(B30:AO180,BM7,BO2),"")</f>
        <v/>
      </c>
      <c r="BP7" s="16">
        <f>IFERROR(IF(BM6+1&gt;BQ2,BP6+1,0),"")</f>
        <v>0</v>
      </c>
      <c r="BS7" s="412" t="str">
        <f t="shared" si="1"/>
        <v/>
      </c>
      <c r="BT7" s="413" t="str" cm="1">
        <f t="array" ref="BT7">INDEX(BS:BS,SMALL(IF($BS$2:$BS$101&lt;&gt;"",ROW($BS$2:$BS$101),142),ROW(BS6)))&amp;""</f>
        <v/>
      </c>
      <c r="BU7" s="16" t="str">
        <f>IF(主要!AX16="","",主要!AX16)</f>
        <v/>
      </c>
      <c r="BV7" s="16" t="str">
        <f t="shared" si="2"/>
        <v/>
      </c>
    </row>
    <row r="8" spans="1:74" ht="16.5" customHeight="1">
      <c r="A8" s="254">
        <v>6</v>
      </c>
      <c r="B8" s="254" t="s">
        <v>215</v>
      </c>
      <c r="C8" s="255" t="s">
        <v>487</v>
      </c>
      <c r="D8" s="255" t="s">
        <v>488</v>
      </c>
      <c r="E8" s="255" t="s">
        <v>489</v>
      </c>
      <c r="F8" s="256" t="s">
        <v>490</v>
      </c>
      <c r="G8" s="256" t="s">
        <v>491</v>
      </c>
      <c r="H8" s="256" t="s">
        <v>492</v>
      </c>
      <c r="I8" s="263" t="s">
        <v>493</v>
      </c>
      <c r="J8" s="259" t="s">
        <v>494</v>
      </c>
      <c r="K8" s="259" t="s">
        <v>495</v>
      </c>
      <c r="L8" s="266" t="s">
        <v>4605</v>
      </c>
      <c r="M8" s="254"/>
      <c r="N8" s="254"/>
      <c r="O8" s="254"/>
      <c r="P8" s="254"/>
      <c r="Q8" s="254"/>
      <c r="R8" s="254"/>
      <c r="U8" s="16" t="str">
        <f>IFERROR(IF(VLOOKUP(T2,B3:R22,8,FALSE)=0,"",VLOOKUP(T2,B3:R22,8,FALSE)),"")</f>
        <v/>
      </c>
      <c r="W8" s="16" t="str">
        <f>IFERROR(IF(VLOOKUP(V2,B3:R22,8,FALSE)=0,"",VLOOKUP(V2,B3:R22,8,FALSE)),"")</f>
        <v/>
      </c>
      <c r="Y8" s="16" t="str">
        <f>IFERROR(IF(VLOOKUP(X2,B3:R22,8,FALSE)=0,"",VLOOKUP(X2,B3:R22,8,FALSE)),"")</f>
        <v/>
      </c>
      <c r="AA8" s="16" t="str">
        <f>IFERROR(IF(VLOOKUP(Z2,B3:R22,8,FALSE)=0,"",VLOOKUP(Z2,B3:R22,8,FALSE)),"")</f>
        <v/>
      </c>
      <c r="AC8" s="225" t="s">
        <v>225</v>
      </c>
      <c r="AD8" s="226" t="s">
        <v>6495</v>
      </c>
      <c r="AH8" s="340" t="s">
        <v>203</v>
      </c>
      <c r="AI8" s="340">
        <f>IFERROR(VLOOKUP(AH8,$AJ$2:$AL$4,3,0),0)</f>
        <v>0</v>
      </c>
      <c r="AJ8" s="340"/>
      <c r="AK8" s="340"/>
      <c r="AL8" s="340"/>
      <c r="AN8" s="335">
        <v>6</v>
      </c>
      <c r="AO8" s="336">
        <v>4</v>
      </c>
      <c r="AP8" s="336">
        <v>3</v>
      </c>
      <c r="AQ8" s="336">
        <v>3</v>
      </c>
      <c r="AR8" s="336"/>
      <c r="AS8" s="336"/>
      <c r="AT8" s="336"/>
      <c r="AU8" s="336"/>
      <c r="AV8" s="336"/>
      <c r="AW8" s="336"/>
      <c r="AX8" s="336">
        <v>32</v>
      </c>
      <c r="AY8" s="335">
        <v>6</v>
      </c>
      <c r="AZ8" s="336"/>
      <c r="BA8" s="336"/>
      <c r="BB8" s="336">
        <v>2</v>
      </c>
      <c r="BC8" s="336"/>
      <c r="BD8" s="336"/>
      <c r="BG8" s="15" t="s">
        <v>215</v>
      </c>
      <c r="BH8" s="15">
        <v>11</v>
      </c>
      <c r="BI8" s="15">
        <v>12</v>
      </c>
      <c r="BJ8" s="15">
        <v>1</v>
      </c>
      <c r="BK8" s="15" cm="1">
        <f t="array" ref="BK8">_xlfn.IFS($AI$7&gt;=20,29,$AI$7&gt;=18,28,$AI$7&gt;=15,28,$AI$7&gt;=14,26,$AI$7&gt;=13,25,$AI$7&gt;=10,24,$AI$7&gt;=7,23,$AI$7&gt;=6,21,$AI$7&gt;=5,20,$AI$7&gt;=4,17,$AI$7&gt;=3,14,$AI$7&gt;=2,11,$AI$7&gt;=1,5,1,0)</f>
        <v>0</v>
      </c>
      <c r="BM8" s="16">
        <f>IFERROR(IF(BM7+1&gt;BQ2,IF(BM7+1&gt;BQ2,IF(BP3+BP7&gt;BQ3,"",BP3+BP7)),BM7+1),"")</f>
        <v>3</v>
      </c>
      <c r="BN8" s="16" t="str">
        <f>IFERROR(INDEX(B30:AO180,BM8,BN2),"")</f>
        <v/>
      </c>
      <c r="BO8" s="16" t="str">
        <f>IFERROR(INDEX(B30:AO180,BM8,BO2),"")</f>
        <v/>
      </c>
      <c r="BP8" s="16">
        <f>IFERROR(IF(BM7+1&gt;BQ2,BP7+1,0),"")</f>
        <v>0</v>
      </c>
      <c r="BS8" s="412" t="str">
        <f t="shared" si="1"/>
        <v/>
      </c>
      <c r="BT8" s="413" t="str" cm="1">
        <f t="array" ref="BT8">INDEX(BS:BS,SMALL(IF($BS$2:$BS$101&lt;&gt;"",ROW($BS$2:$BS$101),142),ROW(BS7)))&amp;""</f>
        <v/>
      </c>
      <c r="BU8" s="16" t="str">
        <f>IF(主要!AX17="","",主要!AX17)</f>
        <v/>
      </c>
      <c r="BV8" s="16" t="str">
        <f t="shared" si="2"/>
        <v/>
      </c>
    </row>
    <row r="9" spans="1:74" ht="16.5" customHeight="1">
      <c r="A9" s="254">
        <v>7</v>
      </c>
      <c r="B9" s="254" t="s">
        <v>203</v>
      </c>
      <c r="C9" s="255" t="s">
        <v>3603</v>
      </c>
      <c r="D9" s="255" t="s">
        <v>3604</v>
      </c>
      <c r="E9" s="255" t="s">
        <v>3605</v>
      </c>
      <c r="F9" s="256" t="s">
        <v>3606</v>
      </c>
      <c r="G9" s="256" t="s">
        <v>3607</v>
      </c>
      <c r="H9" s="263" t="s">
        <v>3608</v>
      </c>
      <c r="I9" s="259" t="s">
        <v>3609</v>
      </c>
      <c r="J9" s="259" t="s">
        <v>3610</v>
      </c>
      <c r="K9" s="254"/>
      <c r="L9" s="254"/>
      <c r="M9" s="254"/>
      <c r="N9" s="254"/>
      <c r="O9" s="254"/>
      <c r="P9" s="254"/>
      <c r="Q9" s="254"/>
      <c r="R9" s="254"/>
      <c r="U9" s="16" t="str">
        <f>IFERROR(IF(VLOOKUP(T2,B3:R22,9,FALSE)=0,"",VLOOKUP(T2,B3:R22,9,FALSE)),"")</f>
        <v/>
      </c>
      <c r="W9" s="16" t="str">
        <f>IFERROR(IF(VLOOKUP(V2,B3:R22,9,FALSE)=0,"",VLOOKUP(V2,B3:R22,9,FALSE)),"")</f>
        <v/>
      </c>
      <c r="Y9" s="16" t="str">
        <f>IFERROR(IF(VLOOKUP(X2,B3:R22,9,FALSE)=0,"",VLOOKUP(X2,B3:R22,9,FALSE)),"")</f>
        <v/>
      </c>
      <c r="AA9" s="16" t="str">
        <f>IFERROR(IF(VLOOKUP(Z2,B3:R22,9,FALSE)=0,"",VLOOKUP(Z2,B3:R22,9,FALSE)),"")</f>
        <v/>
      </c>
      <c r="AC9" s="225" t="s">
        <v>1990</v>
      </c>
      <c r="AD9" s="226" t="s">
        <v>6495</v>
      </c>
      <c r="AE9" s="340" t="s">
        <v>6001</v>
      </c>
      <c r="AF9" s="340">
        <f>$AI$3+$AI$4+$AI$5+$AI$11+$AI$13</f>
        <v>0</v>
      </c>
      <c r="AH9" s="340" t="s">
        <v>235</v>
      </c>
      <c r="AI9" s="340">
        <f t="shared" si="0"/>
        <v>0</v>
      </c>
      <c r="AJ9" s="340"/>
      <c r="AK9" s="340"/>
      <c r="AL9" s="340"/>
      <c r="AN9" s="341">
        <v>7</v>
      </c>
      <c r="AO9" s="342">
        <v>4</v>
      </c>
      <c r="AP9" s="342">
        <v>3</v>
      </c>
      <c r="AQ9" s="342">
        <v>3</v>
      </c>
      <c r="AR9" s="342">
        <v>1</v>
      </c>
      <c r="AS9" s="342"/>
      <c r="AT9" s="342"/>
      <c r="AU9" s="342"/>
      <c r="AV9" s="342"/>
      <c r="AW9" s="342"/>
      <c r="AX9" s="342">
        <v>38</v>
      </c>
      <c r="AY9" s="341">
        <v>7</v>
      </c>
      <c r="AZ9" s="342"/>
      <c r="BA9" s="342"/>
      <c r="BB9" s="342"/>
      <c r="BC9" s="342">
        <v>2</v>
      </c>
      <c r="BD9" s="342"/>
      <c r="BG9" s="15" t="s">
        <v>203</v>
      </c>
      <c r="BH9" s="15">
        <v>13</v>
      </c>
      <c r="BI9" s="15">
        <v>14</v>
      </c>
      <c r="BJ9" s="15">
        <v>1</v>
      </c>
      <c r="BK9" s="15" cm="1">
        <f t="array" ref="BK9">_xlfn.IFS($AI$8&gt;=14,24,$AI$8&gt;=11,23,$AI$8&gt;=10,22,$AI$8&gt;=6,21,$AI$8&gt;=5,20,$AI$8&gt;=4,19,$AI$8&gt;=3,17,$AI$8&gt;=2,12,$AI$8&gt;=1,5,1,0)</f>
        <v>0</v>
      </c>
      <c r="BM9" s="16">
        <f>IFERROR(IF(BM8+1&gt;BQ2,IF(BM8+1&gt;BQ2,IF(BP3+BP8&gt;BQ3,"",BP3+BP8)),BM8+1),"")</f>
        <v>4</v>
      </c>
      <c r="BN9" s="16" t="str">
        <f>IFERROR(INDEX(B30:AO180,BM9,BN2),"")</f>
        <v/>
      </c>
      <c r="BO9" s="16" t="str">
        <f>IFERROR(INDEX(B30:AO180,BM9,BO2),"")</f>
        <v/>
      </c>
      <c r="BP9" s="16">
        <f>IFERROR(IF(BM8+1&gt;BQ2,BP8+1,0),"")</f>
        <v>0</v>
      </c>
      <c r="BS9" s="412" t="str">
        <f t="shared" si="1"/>
        <v/>
      </c>
      <c r="BT9" s="413" t="str" cm="1">
        <f t="array" ref="BT9">INDEX(BS:BS,SMALL(IF($BS$2:$BS$101&lt;&gt;"",ROW($BS$2:$BS$101),142),ROW(BS8)))&amp;""</f>
        <v/>
      </c>
      <c r="BU9" s="16" t="str">
        <f>IF(主要!AX18="","",主要!AX18)</f>
        <v/>
      </c>
      <c r="BV9" s="16" t="str">
        <f t="shared" si="2"/>
        <v/>
      </c>
    </row>
    <row r="10" spans="1:74" ht="16.5" customHeight="1">
      <c r="A10" s="254">
        <v>8</v>
      </c>
      <c r="B10" s="254" t="s">
        <v>235</v>
      </c>
      <c r="C10" s="255" t="s">
        <v>4626</v>
      </c>
      <c r="D10" s="255" t="s">
        <v>497</v>
      </c>
      <c r="E10" s="256" t="s">
        <v>498</v>
      </c>
      <c r="F10" s="256" t="s">
        <v>499</v>
      </c>
      <c r="G10" s="256" t="s">
        <v>500</v>
      </c>
      <c r="H10" s="259" t="s">
        <v>5894</v>
      </c>
      <c r="I10" s="259" t="s">
        <v>501</v>
      </c>
      <c r="J10" s="267" t="s">
        <v>4629</v>
      </c>
      <c r="K10" s="254"/>
      <c r="L10" s="254"/>
      <c r="M10" s="254"/>
      <c r="N10" s="254"/>
      <c r="O10" s="254"/>
      <c r="P10" s="254"/>
      <c r="Q10" s="254"/>
      <c r="R10" s="254"/>
      <c r="U10" s="16" t="str">
        <f>IFERROR(IF(VLOOKUP(T2,B3:R22,10,FALSE)=0,"",VLOOKUP(T2,B3:R22,10,FALSE)),"")</f>
        <v/>
      </c>
      <c r="W10" s="16" t="str">
        <f>IFERROR(IF(VLOOKUP(V2,B3:R22,10,FALSE)=0,"",VLOOKUP(V2,B3:R22,10,FALSE)),"")</f>
        <v/>
      </c>
      <c r="Y10" s="16" t="str">
        <f>IFERROR(IF(VLOOKUP(X2,B3:R22,10,FALSE)=0,"",VLOOKUP(X2,B3:R22,10,FALSE)),"")</f>
        <v/>
      </c>
      <c r="AA10" s="16" t="str">
        <f>IFERROR(IF(VLOOKUP(Z2,B3:R22,10,FALSE)=0,"",VLOOKUP(Z2,B3:R22,10,FALSE)),"")</f>
        <v/>
      </c>
      <c r="AC10" s="225" t="s">
        <v>473</v>
      </c>
      <c r="AD10" s="226" t="s">
        <v>6495</v>
      </c>
      <c r="AE10" s="340" t="s">
        <v>6002</v>
      </c>
      <c r="AF10" s="340">
        <f>IF(AF9=0,ROUNDUP(($AI$8+$AI$9+$AI$14)/2,0),ROUNDDOWN(($AI$8+$AI$9+$AI$14)/2,0))</f>
        <v>0</v>
      </c>
      <c r="AH10" s="340" t="s">
        <v>225</v>
      </c>
      <c r="AI10" s="340">
        <f t="shared" si="0"/>
        <v>0</v>
      </c>
      <c r="AJ10" s="340"/>
      <c r="AK10" s="340"/>
      <c r="AL10" s="340"/>
      <c r="AN10" s="335">
        <v>8</v>
      </c>
      <c r="AO10" s="336">
        <v>4</v>
      </c>
      <c r="AP10" s="336">
        <v>3</v>
      </c>
      <c r="AQ10" s="336">
        <v>3</v>
      </c>
      <c r="AR10" s="336">
        <v>2</v>
      </c>
      <c r="AS10" s="336"/>
      <c r="AT10" s="336"/>
      <c r="AU10" s="336"/>
      <c r="AV10" s="336"/>
      <c r="AW10" s="336"/>
      <c r="AX10" s="336">
        <v>44</v>
      </c>
      <c r="AY10" s="335">
        <v>8</v>
      </c>
      <c r="AZ10" s="336"/>
      <c r="BA10" s="336"/>
      <c r="BB10" s="336"/>
      <c r="BC10" s="336">
        <v>2</v>
      </c>
      <c r="BD10" s="336"/>
      <c r="BG10" s="15" t="s">
        <v>235</v>
      </c>
      <c r="BH10" s="15">
        <v>15</v>
      </c>
      <c r="BI10" s="15">
        <v>16</v>
      </c>
      <c r="BJ10" s="15">
        <v>1</v>
      </c>
      <c r="BK10" s="15" cm="1">
        <f t="array" ref="BK10">_xlfn.IFS($AI$9&gt;=20,25,$AI$9&gt;=18,24,$AI$9&gt;=14,23,$AI$9&gt;=10,22,$AI$9&gt;=8,20,$AI$9&gt;=5,19,$AI$9&gt;=4,18,$AI$9&gt;=3,16,$AI$9&gt;=2,13,$AI$9&gt;=1,7,1,0)</f>
        <v>0</v>
      </c>
      <c r="BM10" s="16">
        <f>IFERROR(IF(BM9+1&gt;BQ2,IF(BM9+1&gt;BQ2,IF(BP3+BP9&gt;BQ3,"",BP3+BP9)),BM9+1),"")</f>
        <v>5</v>
      </c>
      <c r="BN10" s="16" t="str">
        <f>IFERROR(INDEX(B30:AO180,BM10,BN2),"")</f>
        <v/>
      </c>
      <c r="BO10" s="16" t="str">
        <f>IFERROR(INDEX(B30:AO180,BM10,BO2),"")</f>
        <v/>
      </c>
      <c r="BP10" s="16">
        <f>IFERROR(IF(BM9+1&gt;BQ2,BP9+1,0),"")</f>
        <v>0</v>
      </c>
      <c r="BS10" s="412" t="str">
        <f t="shared" si="1"/>
        <v/>
      </c>
      <c r="BT10" s="413" t="str" cm="1">
        <f t="array" ref="BT10">INDEX(BS:BS,SMALL(IF($BS$2:$BS$101&lt;&gt;"",ROW($BS$2:$BS$101),142),ROW(BS9)))&amp;""</f>
        <v/>
      </c>
      <c r="BU10" s="16" t="str">
        <f>IF(主要!AX19="","",主要!AX19)</f>
        <v/>
      </c>
      <c r="BV10" s="16" t="str">
        <f t="shared" si="2"/>
        <v/>
      </c>
    </row>
    <row r="11" spans="1:74" ht="16.5" customHeight="1">
      <c r="A11" s="254">
        <v>9</v>
      </c>
      <c r="B11" s="254" t="s">
        <v>225</v>
      </c>
      <c r="C11" s="255" t="s">
        <v>502</v>
      </c>
      <c r="D11" s="255" t="s">
        <v>503</v>
      </c>
      <c r="E11" s="255" t="s">
        <v>504</v>
      </c>
      <c r="F11" s="256" t="s">
        <v>4642</v>
      </c>
      <c r="G11" s="256" t="s">
        <v>505</v>
      </c>
      <c r="H11" s="256" t="s">
        <v>506</v>
      </c>
      <c r="I11" s="256" t="s">
        <v>507</v>
      </c>
      <c r="J11" s="259" t="s">
        <v>508</v>
      </c>
      <c r="K11" s="259" t="s">
        <v>509</v>
      </c>
      <c r="L11" s="254"/>
      <c r="M11" s="254"/>
      <c r="N11" s="254"/>
      <c r="O11" s="254"/>
      <c r="P11" s="254"/>
      <c r="Q11" s="254"/>
      <c r="R11" s="254"/>
      <c r="U11" s="16" t="str">
        <f>IFERROR(IF(VLOOKUP(T2,B3:R22,11,FALSE)=0,"",VLOOKUP(T2,B3:R22,11,FALSE)),"")</f>
        <v/>
      </c>
      <c r="W11" s="16" t="str">
        <f>IFERROR(IF(VLOOKUP(V2,B3:R22,11,FALSE)=0,"",VLOOKUP(V2,B3:R22,11,FALSE)),"")</f>
        <v/>
      </c>
      <c r="Y11" s="16" t="str">
        <f>IFERROR(IF(VLOOKUP(X2,B3:R22,11,FALSE)=0,"",VLOOKUP(X2,B3:R22,11,FALSE)),"")</f>
        <v/>
      </c>
      <c r="AA11" s="16" t="str">
        <f>IFERROR(IF(VLOOKUP(Z2,B3:R22,11,FALSE)=0,"",VLOOKUP(Z2,B3:R22,11,FALSE)),"")</f>
        <v/>
      </c>
      <c r="AC11" s="225" t="s">
        <v>180</v>
      </c>
      <c r="AD11" s="226" t="s">
        <v>6496</v>
      </c>
      <c r="AE11" s="340" t="s">
        <v>6003</v>
      </c>
      <c r="AF11" s="340">
        <f>IF(AF9=0,ROUNDUP((AL6+AL7)/3,0),ROUNDDOWN((AL6+AL7)/3,0))</f>
        <v>0</v>
      </c>
      <c r="AH11" s="340" t="s">
        <v>221</v>
      </c>
      <c r="AI11" s="340">
        <f t="shared" si="0"/>
        <v>0</v>
      </c>
      <c r="AJ11" s="340"/>
      <c r="AK11" s="340"/>
      <c r="AL11" s="340"/>
      <c r="AN11" s="341">
        <v>9</v>
      </c>
      <c r="AO11" s="342">
        <v>4</v>
      </c>
      <c r="AP11" s="342">
        <v>3</v>
      </c>
      <c r="AQ11" s="342">
        <v>3</v>
      </c>
      <c r="AR11" s="342">
        <v>3</v>
      </c>
      <c r="AS11" s="342">
        <v>1</v>
      </c>
      <c r="AT11" s="342"/>
      <c r="AU11" s="342"/>
      <c r="AV11" s="342"/>
      <c r="AW11" s="342"/>
      <c r="AX11" s="342">
        <v>57</v>
      </c>
      <c r="AY11" s="341">
        <v>9</v>
      </c>
      <c r="AZ11" s="342"/>
      <c r="BA11" s="342"/>
      <c r="BB11" s="342"/>
      <c r="BC11" s="342"/>
      <c r="BD11" s="342">
        <v>3</v>
      </c>
      <c r="BG11" s="15" t="s">
        <v>225</v>
      </c>
      <c r="BH11" s="15">
        <v>17</v>
      </c>
      <c r="BI11" s="15">
        <v>18</v>
      </c>
      <c r="BJ11" s="15">
        <v>1</v>
      </c>
      <c r="BK11" s="15" cm="1">
        <f t="array" ref="BK11">_xlfn.IFS($AI$10&gt;=20,17,$AI$10&gt;=18,16,$AI$10&gt;=15,14,$AI$10&gt;=14,14,$AI$10&gt;=11,13,$AI$10&gt;=7,12,$AI$10&gt;=5,11,$AI$10&gt;=4,10,$AI$10&gt;=3,9,$AI$10&gt;=2,7,$AI$10&gt;=1,6,1,0)</f>
        <v>0</v>
      </c>
      <c r="BM11" s="16">
        <f>IFERROR(IF(BM10+1&gt;BQ2,IF(BM10+1&gt;BQ2,IF(BP3+BP10&gt;BQ3,"",BP3+BP10)),BM10+1),"")</f>
        <v>6</v>
      </c>
      <c r="BN11" s="16" t="str">
        <f>IFERROR(INDEX(B30:AO180,BM11,BN2),"")</f>
        <v/>
      </c>
      <c r="BO11" s="16" t="str">
        <f>IFERROR(INDEX(B30:AO180,BM11,BO2),"")</f>
        <v/>
      </c>
      <c r="BP11" s="16">
        <f>IFERROR(IF(BM10+1&gt;BQ2,BP10+1,0),"")</f>
        <v>0</v>
      </c>
      <c r="BS11" s="412" t="str">
        <f t="shared" si="1"/>
        <v/>
      </c>
      <c r="BT11" s="413" t="str" cm="1">
        <f t="array" ref="BT11">INDEX(BS:BS,SMALL(IF($BS$2:$BS$101&lt;&gt;"",ROW($BS$2:$BS$101),142),ROW(BS10)))&amp;""</f>
        <v/>
      </c>
      <c r="BU11" s="16" t="str">
        <f>IF(主要!AX20="","",主要!AX20)</f>
        <v/>
      </c>
      <c r="BV11" s="16" t="str">
        <f t="shared" si="2"/>
        <v/>
      </c>
    </row>
    <row r="12" spans="1:74" ht="16.5" customHeight="1">
      <c r="A12" s="254">
        <v>10</v>
      </c>
      <c r="B12" s="254" t="s">
        <v>221</v>
      </c>
      <c r="C12" s="255" t="s">
        <v>3612</v>
      </c>
      <c r="D12" s="255" t="s">
        <v>3613</v>
      </c>
      <c r="E12" s="256" t="s">
        <v>3614</v>
      </c>
      <c r="F12" s="256" t="s">
        <v>3615</v>
      </c>
      <c r="G12" s="256" t="s">
        <v>3616</v>
      </c>
      <c r="H12" s="259" t="s">
        <v>3617</v>
      </c>
      <c r="I12" s="259" t="s">
        <v>3618</v>
      </c>
      <c r="J12" s="254" t="s">
        <v>4643</v>
      </c>
      <c r="K12" s="254"/>
      <c r="L12" s="254"/>
      <c r="M12" s="254"/>
      <c r="N12" s="254"/>
      <c r="O12" s="254"/>
      <c r="P12" s="254"/>
      <c r="Q12" s="254"/>
      <c r="R12" s="254"/>
      <c r="U12" s="16" t="str">
        <f>IFERROR(IF(VLOOKUP(T2,B3:R22,12,FALSE)=0,"",VLOOKUP(T2,B3:R22,12,FALSE)),"")</f>
        <v/>
      </c>
      <c r="W12" s="16" t="str">
        <f>IFERROR(IF(VLOOKUP(V2,B3:R22,12,FALSE)=0,"",VLOOKUP(V2,B3:R22,12,FALSE)),"")</f>
        <v/>
      </c>
      <c r="Y12" s="16" t="str">
        <f>IFERROR(IF(VLOOKUP(X2,B3:R22,12,FALSE)=0,"",VLOOKUP(X2,B3:R22,12,FALSE)),"")</f>
        <v/>
      </c>
      <c r="AA12" s="16" t="str">
        <f>IFERROR(IF(VLOOKUP(Z2,B3:R22,12,FALSE)=0,"",VLOOKUP(Z2,B3:R22,12,FALSE)),"")</f>
        <v/>
      </c>
      <c r="AC12" s="225" t="s">
        <v>203</v>
      </c>
      <c r="AD12" s="226" t="s">
        <v>6496</v>
      </c>
      <c r="AE12" s="340"/>
      <c r="AF12" s="340"/>
      <c r="AH12" s="340" t="s">
        <v>1990</v>
      </c>
      <c r="AI12" s="340">
        <f t="shared" si="0"/>
        <v>0</v>
      </c>
      <c r="AJ12" s="340"/>
      <c r="AK12" s="340"/>
      <c r="AL12" s="340"/>
      <c r="AN12" s="335">
        <v>10</v>
      </c>
      <c r="AO12" s="336">
        <v>4</v>
      </c>
      <c r="AP12" s="336">
        <v>3</v>
      </c>
      <c r="AQ12" s="336">
        <v>3</v>
      </c>
      <c r="AR12" s="336">
        <v>3</v>
      </c>
      <c r="AS12" s="336">
        <v>2</v>
      </c>
      <c r="AT12" s="336"/>
      <c r="AU12" s="336"/>
      <c r="AV12" s="336"/>
      <c r="AW12" s="336"/>
      <c r="AX12" s="336">
        <v>64</v>
      </c>
      <c r="AY12" s="335">
        <v>10</v>
      </c>
      <c r="AZ12" s="336"/>
      <c r="BA12" s="336"/>
      <c r="BB12" s="336"/>
      <c r="BC12" s="336"/>
      <c r="BD12" s="336">
        <v>3</v>
      </c>
      <c r="BG12" s="15" t="s">
        <v>221</v>
      </c>
      <c r="BH12" s="15">
        <v>19</v>
      </c>
      <c r="BI12" s="15">
        <v>20</v>
      </c>
      <c r="BJ12" s="15">
        <v>1</v>
      </c>
      <c r="BK12" s="15" cm="1">
        <f t="array" ref="BK12">_xlfn.IFS($AI$11&gt;=20,30,$AI$11&gt;=5,29,$AI$11&gt;=4,28,$AI$11&gt;=3,26,$AI$11&gt;=2,15,$AI$11&gt;=1,10,1,0)</f>
        <v>0</v>
      </c>
      <c r="BM12" s="16">
        <f>IFERROR(IF(BM11+1&gt;BQ2,IF(BM11+1&gt;BQ2,IF(BP3+BP11&gt;BQ3,"",BP3+BP11)),BM11+1),"")</f>
        <v>7</v>
      </c>
      <c r="BN12" s="16" t="str">
        <f>IFERROR(INDEX(B30:AO180,BM12,BN2),"")</f>
        <v/>
      </c>
      <c r="BO12" s="16" t="str">
        <f>IFERROR(INDEX(B30:AO180,BM12,BO2),"")</f>
        <v/>
      </c>
      <c r="BP12" s="16">
        <f>IFERROR(IF(BM11+1&gt;BQ2,BP11+1,0),"")</f>
        <v>0</v>
      </c>
      <c r="BS12" s="412" t="str">
        <f t="shared" si="1"/>
        <v/>
      </c>
      <c r="BT12" s="413" t="str" cm="1">
        <f t="array" ref="BT12">INDEX(BS:BS,SMALL(IF($BS$2:$BS$101&lt;&gt;"",ROW($BS$2:$BS$101),142),ROW(BS11)))&amp;""</f>
        <v/>
      </c>
      <c r="BU12" s="16" t="str">
        <f>IF(主要!AX21="","",主要!AX21)</f>
        <v/>
      </c>
      <c r="BV12" s="16" t="str">
        <f t="shared" si="2"/>
        <v/>
      </c>
    </row>
    <row r="13" spans="1:74" ht="16.5" customHeight="1">
      <c r="A13" s="254">
        <v>11</v>
      </c>
      <c r="B13" s="254" t="s">
        <v>1990</v>
      </c>
      <c r="C13" s="255" t="s">
        <v>510</v>
      </c>
      <c r="D13" s="255" t="s">
        <v>511</v>
      </c>
      <c r="E13" s="255" t="s">
        <v>512</v>
      </c>
      <c r="F13" s="256" t="s">
        <v>513</v>
      </c>
      <c r="G13" s="256" t="s">
        <v>514</v>
      </c>
      <c r="H13" s="263" t="s">
        <v>515</v>
      </c>
      <c r="I13" s="259" t="s">
        <v>516</v>
      </c>
      <c r="J13" s="259" t="s">
        <v>5838</v>
      </c>
      <c r="K13" s="268" t="s">
        <v>4656</v>
      </c>
      <c r="L13" s="254"/>
      <c r="M13" s="254"/>
      <c r="N13" s="254"/>
      <c r="O13" s="254"/>
      <c r="P13" s="254"/>
      <c r="Q13" s="254"/>
      <c r="R13" s="254"/>
      <c r="U13" s="16" t="str">
        <f>IFERROR(IF(VLOOKUP(T2,B3:R22,13,FALSE)=0,"",VLOOKUP(T2,B3:R22,13,FALSE)),"")</f>
        <v/>
      </c>
      <c r="W13" s="16" t="str">
        <f>IFERROR(IF(VLOOKUP(V2,B3:R22,13,FALSE)=0,"",VLOOKUP(V2,B3:R22,13,FALSE)),"")</f>
        <v/>
      </c>
      <c r="Y13" s="16" t="str">
        <f>IFERROR(IF(VLOOKUP(X2,B3:R22,13,FALSE)=0,"",VLOOKUP(X2,B3:R22,13,FALSE)),"")</f>
        <v/>
      </c>
      <c r="AA13" s="16" t="str">
        <f>IFERROR(IF(VLOOKUP(Z2,B3:R22,13,FALSE)=0,"",VLOOKUP(Z2,B3:R22,13,FALSE)),"")</f>
        <v/>
      </c>
      <c r="AC13" s="225" t="s">
        <v>235</v>
      </c>
      <c r="AD13" s="226" t="s">
        <v>6496</v>
      </c>
      <c r="AE13" s="340"/>
      <c r="AF13" s="340"/>
      <c r="AH13" s="340" t="s">
        <v>230</v>
      </c>
      <c r="AI13" s="340">
        <f t="shared" si="0"/>
        <v>0</v>
      </c>
      <c r="AJ13" s="340"/>
      <c r="AK13" s="340"/>
      <c r="AL13" s="340"/>
      <c r="AN13" s="341">
        <v>11</v>
      </c>
      <c r="AO13" s="342">
        <v>4</v>
      </c>
      <c r="AP13" s="342">
        <v>3</v>
      </c>
      <c r="AQ13" s="342">
        <v>3</v>
      </c>
      <c r="AR13" s="342">
        <v>3</v>
      </c>
      <c r="AS13" s="342">
        <v>2</v>
      </c>
      <c r="AT13" s="342">
        <v>1</v>
      </c>
      <c r="AU13" s="342"/>
      <c r="AV13" s="342"/>
      <c r="AW13" s="342"/>
      <c r="AX13" s="342">
        <v>73</v>
      </c>
      <c r="AY13" s="341">
        <v>11</v>
      </c>
      <c r="AZ13" s="342"/>
      <c r="BA13" s="342"/>
      <c r="BB13" s="342"/>
      <c r="BC13" s="342"/>
      <c r="BD13" s="342">
        <v>3</v>
      </c>
      <c r="BG13" s="15" t="s">
        <v>1990</v>
      </c>
      <c r="BH13" s="15">
        <v>21</v>
      </c>
      <c r="BI13" s="15">
        <v>22</v>
      </c>
      <c r="BJ13" s="15">
        <v>1</v>
      </c>
      <c r="BK13" s="15" cm="1">
        <f t="array" ref="BK13">_xlfn.IFS($AI$12&gt;=20,73,$AI$12&gt;=15,72,$AI$12&gt;=12,67,$AI$12&gt;=11,65,$AI$12&gt;=9,64,$AI$12&gt;=7,59,$AI$12&gt;=5,52,$AI$12&gt;=4,41,$AI$12&gt;=3,39,$AI$12&gt;=2,27,$AI$12&gt;=1,9,1,0)</f>
        <v>0</v>
      </c>
      <c r="BM13" s="16">
        <f>IFERROR(IF(BM12+1&gt;BQ2,IF(BM12+1&gt;BQ2,IF(BP3+BP12&gt;BQ3,"",BP3+BP12)),BM12+1),"")</f>
        <v>8</v>
      </c>
      <c r="BN13" s="16" t="str">
        <f>IFERROR(INDEX(B30:AO180,BM13,BN2),"")</f>
        <v/>
      </c>
      <c r="BO13" s="16" t="str">
        <f>IFERROR(INDEX(B30:AO180,BM13,BO2),"")</f>
        <v/>
      </c>
      <c r="BP13" s="16">
        <f>IFERROR(IF(BM12+1&gt;BQ2,BP12+1,0),"")</f>
        <v>0</v>
      </c>
      <c r="BS13" s="412" t="str">
        <f t="shared" si="1"/>
        <v/>
      </c>
      <c r="BT13" s="413" t="str" cm="1">
        <f t="array" ref="BT13">INDEX(BS:BS,SMALL(IF($BS$2:$BS$101&lt;&gt;"",ROW($BS$2:$BS$101),142),ROW(BS12)))&amp;""</f>
        <v/>
      </c>
      <c r="BU13" s="16" t="str">
        <f>IF(主要!AX22="","",主要!AX22)</f>
        <v/>
      </c>
      <c r="BV13" s="16" t="str">
        <f t="shared" si="2"/>
        <v/>
      </c>
    </row>
    <row r="14" spans="1:74" ht="16.5" customHeight="1" thickBot="1">
      <c r="A14" s="254">
        <v>12</v>
      </c>
      <c r="B14" s="254" t="s">
        <v>230</v>
      </c>
      <c r="C14" s="255" t="s">
        <v>3619</v>
      </c>
      <c r="D14" s="255" t="s">
        <v>3620</v>
      </c>
      <c r="E14" s="255" t="s">
        <v>3621</v>
      </c>
      <c r="F14" s="255" t="s">
        <v>3622</v>
      </c>
      <c r="G14" s="255" t="s">
        <v>3623</v>
      </c>
      <c r="H14" s="255" t="s">
        <v>3624</v>
      </c>
      <c r="I14" s="255" t="s">
        <v>3625</v>
      </c>
      <c r="J14" s="255" t="s">
        <v>3626</v>
      </c>
      <c r="K14" s="256" t="s">
        <v>1281</v>
      </c>
      <c r="L14" s="259" t="s">
        <v>3630</v>
      </c>
      <c r="M14" s="265" t="s">
        <v>3628</v>
      </c>
      <c r="N14" s="265" t="s">
        <v>3629</v>
      </c>
      <c r="O14" s="259" t="s">
        <v>3627</v>
      </c>
      <c r="P14" s="254"/>
      <c r="Q14" s="254"/>
      <c r="R14" s="254"/>
      <c r="U14" s="16" t="str">
        <f>IFERROR(IF(VLOOKUP(T2,B3:R22,14,FALSE)=0,"",VLOOKUP(T2,B3:R22,14,FALSE)),"")</f>
        <v/>
      </c>
      <c r="W14" s="16" t="str">
        <f>IFERROR(IF(VLOOKUP(V2,B3:R22,14,FALSE)=0,"",VLOOKUP(V2,B3:R22,14,FALSE)),"")</f>
        <v/>
      </c>
      <c r="Y14" s="16" t="str">
        <f>IFERROR(IF(VLOOKUP(X2,B3:R22,14,FALSE)=0,"",VLOOKUP(X2,B3:R22,14,FALSE)),"")</f>
        <v/>
      </c>
      <c r="AA14" s="16" t="str">
        <f>IFERROR(IF(VLOOKUP(Z2,B3:R22,14,FALSE)=0,"",VLOOKUP(Z2,B3:R22,14,FALSE)),"")</f>
        <v/>
      </c>
      <c r="AC14" s="227" t="s">
        <v>169</v>
      </c>
      <c r="AD14" s="228" t="s">
        <v>6497</v>
      </c>
      <c r="AE14" s="343" t="s">
        <v>6004</v>
      </c>
      <c r="AF14" s="344">
        <f>AF9+AF10+AF11</f>
        <v>0</v>
      </c>
      <c r="AH14" s="340" t="s">
        <v>4717</v>
      </c>
      <c r="AI14" s="340">
        <f>IFERROR(VLOOKUP(AH14,$AJ$2:$AL$4,3,0),0)</f>
        <v>0</v>
      </c>
      <c r="AJ14" s="340"/>
      <c r="AK14" s="340"/>
      <c r="AL14" s="340"/>
      <c r="AN14" s="335">
        <v>12</v>
      </c>
      <c r="AO14" s="336">
        <v>4</v>
      </c>
      <c r="AP14" s="336">
        <v>3</v>
      </c>
      <c r="AQ14" s="336">
        <v>3</v>
      </c>
      <c r="AR14" s="336">
        <v>3</v>
      </c>
      <c r="AS14" s="336">
        <v>2</v>
      </c>
      <c r="AT14" s="336">
        <v>1</v>
      </c>
      <c r="AU14" s="336"/>
      <c r="AV14" s="336"/>
      <c r="AW14" s="336"/>
      <c r="AX14" s="336">
        <v>73</v>
      </c>
      <c r="AY14" s="335">
        <v>12</v>
      </c>
      <c r="AZ14" s="336"/>
      <c r="BA14" s="336"/>
      <c r="BB14" s="336"/>
      <c r="BC14" s="336"/>
      <c r="BD14" s="336">
        <v>3</v>
      </c>
      <c r="BG14" s="15" t="s">
        <v>230</v>
      </c>
      <c r="BH14" s="15">
        <v>23</v>
      </c>
      <c r="BI14" s="15">
        <v>24</v>
      </c>
      <c r="BJ14" s="15">
        <v>1</v>
      </c>
      <c r="BK14" s="15" cm="1">
        <f t="array" ref="BK14">_xlfn.IFS($AI$13&gt;=20,18,$AI$13&gt;=18,17,$AI$13&gt;=4,16,$AI$13&gt;=3,15,$AI$13&gt;=2,14,$AI$13&gt;=1,13,1,0)</f>
        <v>0</v>
      </c>
      <c r="BM14" s="16">
        <f>IFERROR(IF(BM13+1&gt;BQ2,IF(BM13+1&gt;BQ2,IF(BP3+BP13&gt;BQ3,"",BP3+BP13)),BM13+1),"")</f>
        <v>9</v>
      </c>
      <c r="BN14" s="16" t="str">
        <f>IFERROR(INDEX(B30:AO180,BM14,BN2),"")</f>
        <v/>
      </c>
      <c r="BO14" s="16" t="str">
        <f>IFERROR(INDEX(B30:AO180,BM14,BO2),"")</f>
        <v/>
      </c>
      <c r="BP14" s="16">
        <f>IFERROR(IF(BM13+1&gt;BQ2,BP13+1,0),"")</f>
        <v>0</v>
      </c>
      <c r="BS14" s="412" t="str">
        <f t="shared" si="1"/>
        <v/>
      </c>
      <c r="BT14" s="413" t="str" cm="1">
        <f t="array" ref="BT14">INDEX(BS:BS,SMALL(IF($BS$2:$BS$101&lt;&gt;"",ROW($BS$2:$BS$101),142),ROW(BS13)))&amp;""</f>
        <v/>
      </c>
      <c r="BU14" s="16" t="str">
        <f>IF(主要!AX23="","",主要!AX23)</f>
        <v/>
      </c>
      <c r="BV14" s="16" t="str">
        <f t="shared" si="2"/>
        <v/>
      </c>
    </row>
    <row r="15" spans="1:74" ht="16.5" customHeight="1" thickBot="1">
      <c r="A15" s="254">
        <v>13</v>
      </c>
      <c r="B15" s="254" t="s">
        <v>473</v>
      </c>
      <c r="C15" s="259" t="s">
        <v>517</v>
      </c>
      <c r="D15" s="259" t="s">
        <v>518</v>
      </c>
      <c r="E15" s="259" t="s">
        <v>519</v>
      </c>
      <c r="F15" s="259" t="s">
        <v>520</v>
      </c>
      <c r="G15" s="254"/>
      <c r="H15" s="254"/>
      <c r="I15" s="254"/>
      <c r="J15" s="254"/>
      <c r="K15" s="254"/>
      <c r="L15" s="254"/>
      <c r="M15" s="254"/>
      <c r="N15" s="254"/>
      <c r="O15" s="254"/>
      <c r="P15" s="254"/>
      <c r="Q15" s="254"/>
      <c r="R15" s="254"/>
      <c r="U15" s="16" t="str">
        <f>IFERROR(IF(VLOOKUP(T2,B3:R22,15,FALSE)=0,"",VLOOKUP(T2,B3:R22,15,FALSE)),"")</f>
        <v/>
      </c>
      <c r="W15" s="16" t="str">
        <f>IFERROR(IF(VLOOKUP(V2,B3:R22,15,FALSE)=0,"",VLOOKUP(V2,B3:R22,15,FALSE)),"")</f>
        <v/>
      </c>
      <c r="Y15" s="16" t="str">
        <f>IFERROR(IF(VLOOKUP(X2,B3:R22,15,FALSE)=0,"",VLOOKUP(X2,B3:R22,15,FALSE)),"")</f>
        <v/>
      </c>
      <c r="AA15" s="16" t="str">
        <f>IFERROR(IF(VLOOKUP(Z2,B3:R22,15,FALSE)=0,"",VLOOKUP(Z2,B3:R22,15,FALSE)),"")</f>
        <v/>
      </c>
      <c r="AC15" s="777" t="s">
        <v>5831</v>
      </c>
      <c r="AD15" s="778"/>
      <c r="AE15" s="340" t="s">
        <v>137</v>
      </c>
      <c r="AF15" s="345">
        <f>IFERROR(VLOOKUP($AF$14,$AN$2:$AW$22,2,FALSE),"")</f>
        <v>0</v>
      </c>
      <c r="AN15" s="341">
        <v>13</v>
      </c>
      <c r="AO15" s="342">
        <v>4</v>
      </c>
      <c r="AP15" s="342">
        <v>3</v>
      </c>
      <c r="AQ15" s="342">
        <v>3</v>
      </c>
      <c r="AR15" s="342">
        <v>3</v>
      </c>
      <c r="AS15" s="342">
        <v>2</v>
      </c>
      <c r="AT15" s="342">
        <v>1</v>
      </c>
      <c r="AU15" s="342">
        <v>1</v>
      </c>
      <c r="AV15" s="342"/>
      <c r="AW15" s="342"/>
      <c r="AX15" s="342">
        <v>83</v>
      </c>
      <c r="AY15" s="341">
        <v>13</v>
      </c>
      <c r="AZ15" s="342"/>
      <c r="BA15" s="342"/>
      <c r="BB15" s="342"/>
      <c r="BC15" s="342"/>
      <c r="BD15" s="342">
        <v>3</v>
      </c>
      <c r="BG15" s="234" t="s">
        <v>473</v>
      </c>
      <c r="BH15" s="234">
        <v>25</v>
      </c>
      <c r="BI15" s="234">
        <v>26</v>
      </c>
      <c r="BJ15" s="234">
        <v>1</v>
      </c>
      <c r="BK15" s="234" cm="1">
        <f t="array" ref="BK15">_xlfn.IFS($AI$14&gt;=20,41,$AI$14&gt;=18,40,$AI$14&gt;=14,39,$AI$14&gt;=11,37,$AI$14&gt;=10,36,$AI$14&gt;=7,34,$AI$14&gt;=6,33,$AI$14&gt;=4,27,$AI$14&gt;=3,26,$AI$14&gt;=2,24,$AI$14&gt;=1,11,1,0)</f>
        <v>0</v>
      </c>
      <c r="BM15" s="16">
        <f>IFERROR(IF(BM14+1&gt;BQ2,IF(BM14+1&gt;BQ2,IF(BP3+BP14&gt;BQ3,"",BP3+BP14)),BM14+1),"")</f>
        <v>10</v>
      </c>
      <c r="BN15" s="16" t="str">
        <f>IFERROR(INDEX(B30:AO180,BM15,BN2),"")</f>
        <v/>
      </c>
      <c r="BO15" s="16" t="str">
        <f>IFERROR(INDEX(B30:AO180,BM15,BO2),"")</f>
        <v/>
      </c>
      <c r="BP15" s="16">
        <f>IFERROR(IF(BM14+1&gt;BQ2,BP14+1,0),"")</f>
        <v>0</v>
      </c>
      <c r="BS15" s="412" t="str">
        <f t="shared" si="1"/>
        <v/>
      </c>
      <c r="BT15" s="413" t="str" cm="1">
        <f t="array" ref="BT15">INDEX(BS:BS,SMALL(IF($BS$2:$BS$101&lt;&gt;"",ROW($BS$2:$BS$101),142),ROW(BS14)))&amp;""</f>
        <v/>
      </c>
      <c r="BU15" s="16" t="str">
        <f>IF(主要!AX24="","",主要!AX24)</f>
        <v/>
      </c>
      <c r="BV15" s="16" t="str">
        <f t="shared" si="2"/>
        <v/>
      </c>
    </row>
    <row r="16" spans="1:74" ht="16.5" customHeight="1">
      <c r="A16" s="254">
        <v>14</v>
      </c>
      <c r="B16" s="254"/>
      <c r="C16" s="254"/>
      <c r="D16" s="254"/>
      <c r="E16" s="254"/>
      <c r="F16" s="254"/>
      <c r="G16" s="254"/>
      <c r="H16" s="254"/>
      <c r="I16" s="254"/>
      <c r="J16" s="254"/>
      <c r="K16" s="254"/>
      <c r="L16" s="254"/>
      <c r="M16" s="254"/>
      <c r="N16" s="254"/>
      <c r="O16" s="254"/>
      <c r="P16" s="254"/>
      <c r="Q16" s="254"/>
      <c r="R16" s="254"/>
      <c r="U16" s="16" t="str">
        <f>IFERROR(IF(VLOOKUP(T2,B3:R22,16,FALSE)=0,"",VLOOKUP(T2,B3:R22,16,FALSE)),"")</f>
        <v/>
      </c>
      <c r="W16" s="16" t="str">
        <f>IFERROR(IF(VLOOKUP(V2,B3:R22,16,FALSE)=0,"",VLOOKUP(V2,B3:R22,16,FALSE)),"")</f>
        <v/>
      </c>
      <c r="Y16" s="16" t="str">
        <f>IFERROR(IF(VLOOKUP(X2,B3:R22,16,FALSE)=0,"",VLOOKUP(X2,B3:R22,16,FALSE)),"")</f>
        <v/>
      </c>
      <c r="AA16" s="16" t="str">
        <f>IFERROR(IF(VLOOKUP(Z2,B3:R22,16,FALSE)=0,"",VLOOKUP(Z2,B3:R22,16,FALSE)),"")</f>
        <v/>
      </c>
      <c r="AC16" s="225" t="s">
        <v>6494</v>
      </c>
      <c r="AD16" s="226">
        <v>4</v>
      </c>
      <c r="AE16" s="340" t="s">
        <v>141</v>
      </c>
      <c r="AF16" s="345">
        <f>IFERROR(VLOOKUP($AF$14,$AN$2:$AW$22,3,FALSE),"")</f>
        <v>0</v>
      </c>
      <c r="AG16" s="340"/>
      <c r="AH16" s="340"/>
      <c r="AI16" s="348" t="s">
        <v>137</v>
      </c>
      <c r="AJ16" s="349" t="str">
        <f>IF(AF15+AH20=0,"",AF15+AH20)</f>
        <v/>
      </c>
      <c r="AN16" s="335">
        <v>14</v>
      </c>
      <c r="AO16" s="336">
        <v>4</v>
      </c>
      <c r="AP16" s="336">
        <v>3</v>
      </c>
      <c r="AQ16" s="336">
        <v>3</v>
      </c>
      <c r="AR16" s="336">
        <v>3</v>
      </c>
      <c r="AS16" s="336">
        <v>2</v>
      </c>
      <c r="AT16" s="336">
        <v>1</v>
      </c>
      <c r="AU16" s="336">
        <v>1</v>
      </c>
      <c r="AV16" s="336"/>
      <c r="AW16" s="336"/>
      <c r="AX16" s="336">
        <v>83</v>
      </c>
      <c r="AY16" s="335">
        <v>14</v>
      </c>
      <c r="AZ16" s="336"/>
      <c r="BA16" s="336"/>
      <c r="BB16" s="336"/>
      <c r="BC16" s="336"/>
      <c r="BD16" s="336">
        <v>3</v>
      </c>
      <c r="BG16" s="15" t="s">
        <v>465</v>
      </c>
      <c r="BH16" s="15">
        <v>1</v>
      </c>
      <c r="BI16" s="15">
        <v>2</v>
      </c>
      <c r="BJ16" s="15">
        <f>A49</f>
        <v>20</v>
      </c>
      <c r="BK16" s="15" cm="1">
        <f t="array" ref="BK16">_xlfn.IFS($AI$2&gt;=14,23,$AI$2&gt;=10,22,$AI$2&gt;=6,21,$AI$2&gt;=3,20,1,0)</f>
        <v>0</v>
      </c>
      <c r="BM16" s="16">
        <f>IFERROR(IF(BM15+1&gt;BQ2,IF(BM15+1&gt;BQ2,IF(BP3+BP15&gt;BQ3,"",BP3+BP15)),BM15+1),"")</f>
        <v>11</v>
      </c>
      <c r="BN16" s="16" t="str">
        <f>IFERROR(INDEX(B30:AO180,BM16,BN2),"")</f>
        <v/>
      </c>
      <c r="BO16" s="16" t="str">
        <f>IFERROR(INDEX(B30:AO180,BM16,BO2),"")</f>
        <v/>
      </c>
      <c r="BP16" s="16">
        <f>IFERROR(IF(BM15+1&gt;BQ2,BP15+1,0),"")</f>
        <v>0</v>
      </c>
      <c r="BS16" s="412" t="str">
        <f t="shared" si="1"/>
        <v/>
      </c>
      <c r="BT16" s="413" t="str" cm="1">
        <f t="array" ref="BT16">INDEX(BS:BS,SMALL(IF($BS$2:$BS$101&lt;&gt;"",ROW($BS$2:$BS$101),142),ROW(BS15)))&amp;""</f>
        <v/>
      </c>
      <c r="BU16" s="16" t="str">
        <f>IF(主要!AX25="","",主要!AX25)</f>
        <v/>
      </c>
      <c r="BV16" s="16" t="str">
        <f t="shared" si="2"/>
        <v/>
      </c>
    </row>
    <row r="17" spans="1:74" ht="16.5" customHeight="1">
      <c r="A17" s="254">
        <v>15</v>
      </c>
      <c r="B17" s="254"/>
      <c r="C17" s="254"/>
      <c r="D17" s="254"/>
      <c r="E17" s="254"/>
      <c r="F17" s="254"/>
      <c r="G17" s="254"/>
      <c r="H17" s="254"/>
      <c r="I17" s="254"/>
      <c r="J17" s="254"/>
      <c r="K17" s="254"/>
      <c r="L17" s="254"/>
      <c r="M17" s="254"/>
      <c r="N17" s="254"/>
      <c r="O17" s="254"/>
      <c r="P17" s="254"/>
      <c r="Q17" s="254"/>
      <c r="R17" s="254"/>
      <c r="U17" s="16" t="str">
        <f>IFERROR(IF(VLOOKUP(T2,B3:R22,17,FALSE)=0,"",VLOOKUP(T2,B3:R22,17,FALSE)),"")</f>
        <v/>
      </c>
      <c r="W17" s="16" t="str">
        <f>IFERROR(IF(VLOOKUP(V2,B3:R22,17,FALSE)=0,"",VLOOKUP(V2,B3:R22,17,FALSE)),"")</f>
        <v/>
      </c>
      <c r="Y17" s="16" t="str">
        <f>IFERROR(IF(VLOOKUP(X2,B3:R22,17,FALSE)=0,"",VLOOKUP(X2,B3:R22,17,FALSE)),"")</f>
        <v/>
      </c>
      <c r="AA17" s="16" t="str">
        <f>IFERROR(IF(VLOOKUP(Z2,B3:R22,17,FALSE)=0,"",VLOOKUP(Z2,B3:R22,17,FALSE)),"")</f>
        <v/>
      </c>
      <c r="AC17" s="225" t="s">
        <v>6495</v>
      </c>
      <c r="AD17" s="226">
        <v>5</v>
      </c>
      <c r="AE17" s="340" t="s">
        <v>142</v>
      </c>
      <c r="AF17" s="345">
        <f>IFERROR(VLOOKUP($AF$14,$AN$2:$AW$22,4,FALSE),"")</f>
        <v>0</v>
      </c>
      <c r="AG17" s="340"/>
      <c r="AH17" s="340"/>
      <c r="AI17" s="350" t="s">
        <v>141</v>
      </c>
      <c r="AJ17" s="345" t="str">
        <f>IF(AF16+AH21=0,"",AF16+AH21)</f>
        <v/>
      </c>
      <c r="AN17" s="341">
        <v>15</v>
      </c>
      <c r="AO17" s="342">
        <v>4</v>
      </c>
      <c r="AP17" s="342">
        <v>3</v>
      </c>
      <c r="AQ17" s="342">
        <v>3</v>
      </c>
      <c r="AR17" s="342">
        <v>3</v>
      </c>
      <c r="AS17" s="342">
        <v>2</v>
      </c>
      <c r="AT17" s="342">
        <v>1</v>
      </c>
      <c r="AU17" s="342">
        <v>1</v>
      </c>
      <c r="AV17" s="342">
        <v>1</v>
      </c>
      <c r="AW17" s="342"/>
      <c r="AX17" s="342">
        <v>94</v>
      </c>
      <c r="AY17" s="341">
        <v>15</v>
      </c>
      <c r="AZ17" s="342"/>
      <c r="BA17" s="342"/>
      <c r="BB17" s="342"/>
      <c r="BC17" s="342"/>
      <c r="BD17" s="342">
        <v>3</v>
      </c>
      <c r="BG17" s="15" t="s">
        <v>466</v>
      </c>
      <c r="BH17" s="15">
        <v>1</v>
      </c>
      <c r="BI17" s="15">
        <v>2</v>
      </c>
      <c r="BJ17" s="15">
        <f>A53</f>
        <v>24</v>
      </c>
      <c r="BK17" s="15" cm="1">
        <f t="array" ref="BK17">_xlfn.IFS($AI$2&gt;=14,28,$AI$2&gt;=10,27,$AI$2&gt;=6,26,$AI$2&gt;=3,25,1,0)</f>
        <v>0</v>
      </c>
      <c r="BM17" s="16">
        <f>IFERROR(IF(BM16+1&gt;BQ2,IF(BM16+1&gt;BQ2,IF(BP3+BP16&gt;BQ3,"",BP3+BP16)),BM16+1),"")</f>
        <v>12</v>
      </c>
      <c r="BN17" s="16" t="str">
        <f>IFERROR(INDEX(B30:AO180,BM17,BN2),"")</f>
        <v/>
      </c>
      <c r="BO17" s="16" t="str">
        <f>IFERROR(INDEX(B30:AO180,BM17,BO2),"")</f>
        <v/>
      </c>
      <c r="BP17" s="16">
        <f>IFERROR(IF(BM16+1&gt;BQ2,BP16+1,0),"")</f>
        <v>0</v>
      </c>
      <c r="BS17" s="412" t="str">
        <f t="shared" si="1"/>
        <v/>
      </c>
      <c r="BT17" s="413" t="str" cm="1">
        <f t="array" ref="BT17">INDEX(BS:BS,SMALL(IF($BS$2:$BS$101&lt;&gt;"",ROW($BS$2:$BS$101),142),ROW(BS16)))&amp;""</f>
        <v/>
      </c>
      <c r="BU17" s="16" t="str">
        <f>IF(主要!AX26="","",主要!AX26)</f>
        <v/>
      </c>
      <c r="BV17" s="16" t="str">
        <f t="shared" si="2"/>
        <v/>
      </c>
    </row>
    <row r="18" spans="1:74" ht="16.5" customHeight="1">
      <c r="A18" s="254">
        <v>16</v>
      </c>
      <c r="B18" s="254"/>
      <c r="C18" s="254"/>
      <c r="D18" s="254"/>
      <c r="E18" s="254"/>
      <c r="F18" s="254"/>
      <c r="G18" s="254"/>
      <c r="H18" s="254"/>
      <c r="I18" s="254"/>
      <c r="J18" s="254"/>
      <c r="K18" s="254"/>
      <c r="L18" s="254"/>
      <c r="M18" s="254"/>
      <c r="N18" s="254"/>
      <c r="O18" s="254"/>
      <c r="P18" s="254"/>
      <c r="Q18" s="254"/>
      <c r="R18" s="254"/>
      <c r="AC18" s="225" t="s">
        <v>6496</v>
      </c>
      <c r="AD18" s="226">
        <v>6</v>
      </c>
      <c r="AE18" s="340" t="s">
        <v>150</v>
      </c>
      <c r="AF18" s="345">
        <f>IFERROR(VLOOKUP($AF$14,$AN$2:$AW$22,5,FALSE),"")</f>
        <v>0</v>
      </c>
      <c r="AG18" s="340"/>
      <c r="AH18" s="340"/>
      <c r="AI18" s="350" t="s">
        <v>142</v>
      </c>
      <c r="AJ18" s="345" t="str">
        <f>IF(AF17+AH22=0,"",AF17+AH22)</f>
        <v/>
      </c>
      <c r="AN18" s="335">
        <v>16</v>
      </c>
      <c r="AO18" s="336">
        <v>4</v>
      </c>
      <c r="AP18" s="336">
        <v>3</v>
      </c>
      <c r="AQ18" s="336">
        <v>3</v>
      </c>
      <c r="AR18" s="336">
        <v>3</v>
      </c>
      <c r="AS18" s="336">
        <v>2</v>
      </c>
      <c r="AT18" s="336">
        <v>1</v>
      </c>
      <c r="AU18" s="336">
        <v>1</v>
      </c>
      <c r="AV18" s="336">
        <v>1</v>
      </c>
      <c r="AW18" s="336"/>
      <c r="AX18" s="336">
        <v>94</v>
      </c>
      <c r="AY18" s="335">
        <v>16</v>
      </c>
      <c r="AZ18" s="336"/>
      <c r="BA18" s="336"/>
      <c r="BB18" s="336"/>
      <c r="BC18" s="336"/>
      <c r="BD18" s="336">
        <v>3</v>
      </c>
      <c r="BG18" s="15" t="s">
        <v>467</v>
      </c>
      <c r="BH18" s="15">
        <v>1</v>
      </c>
      <c r="BI18" s="15">
        <v>2</v>
      </c>
      <c r="BJ18" s="15">
        <f>A58</f>
        <v>29</v>
      </c>
      <c r="BK18" s="15" cm="1">
        <f t="array" ref="BK18">_xlfn.IFS($AI$2&gt;=14,33,$AI$2&gt;=10,32,$AI$2&gt;=6,31,$AI$2&gt;=3,30,1,0)</f>
        <v>0</v>
      </c>
      <c r="BM18" s="16">
        <f>IFERROR(IF(BM17+1&gt;BQ2,IF(BM17+1&gt;BQ2,IF(BP3+BP17&gt;BQ3,"",BP3+BP17)),BM17+1),"")</f>
        <v>13</v>
      </c>
      <c r="BN18" s="16" t="str">
        <f>IFERROR(INDEX(B30:AO180,BM18,BN2),"")</f>
        <v/>
      </c>
      <c r="BO18" s="16" t="str">
        <f>IFERROR(INDEX(B30:AO180,BM18,BO2),"")</f>
        <v/>
      </c>
      <c r="BP18" s="16">
        <f>IFERROR(IF(BM17+1&gt;BQ2,BP17+1,0),"")</f>
        <v>0</v>
      </c>
      <c r="BS18" s="412" t="str">
        <f t="shared" si="1"/>
        <v/>
      </c>
      <c r="BT18" s="413" t="str" cm="1">
        <f t="array" ref="BT18">INDEX(BS:BS,SMALL(IF($BS$2:$BS$101&lt;&gt;"",ROW($BS$2:$BS$101),142),ROW(BS17)))&amp;""</f>
        <v/>
      </c>
      <c r="BU18" s="16" t="str">
        <f>IF(主要!AX27="","",主要!AX27)</f>
        <v/>
      </c>
      <c r="BV18" s="16" t="str">
        <f t="shared" si="2"/>
        <v/>
      </c>
    </row>
    <row r="19" spans="1:74" ht="16.5" customHeight="1" thickBot="1">
      <c r="A19" s="254">
        <v>17</v>
      </c>
      <c r="B19" s="254"/>
      <c r="C19" s="254"/>
      <c r="D19" s="254"/>
      <c r="E19" s="254"/>
      <c r="F19" s="254"/>
      <c r="G19" s="254"/>
      <c r="H19" s="254"/>
      <c r="I19" s="254"/>
      <c r="J19" s="254"/>
      <c r="K19" s="254"/>
      <c r="L19" s="254"/>
      <c r="M19" s="254"/>
      <c r="N19" s="254"/>
      <c r="O19" s="254"/>
      <c r="P19" s="254"/>
      <c r="Q19" s="254"/>
      <c r="R19" s="254"/>
      <c r="AC19" s="227" t="s">
        <v>6497</v>
      </c>
      <c r="AD19" s="228">
        <v>7</v>
      </c>
      <c r="AE19" s="340" t="s">
        <v>155</v>
      </c>
      <c r="AF19" s="345">
        <f>IFERROR(VLOOKUP($AF$14,$AN$2:$AW$22,6,FALSE),"")</f>
        <v>0</v>
      </c>
      <c r="AG19" s="351" t="s">
        <v>1990</v>
      </c>
      <c r="AH19" s="351"/>
      <c r="AI19" s="350" t="s">
        <v>150</v>
      </c>
      <c r="AJ19" s="345" t="str">
        <f>IF(AF18+AH23=0,"",AF18+AH23)</f>
        <v/>
      </c>
      <c r="AN19" s="341">
        <v>17</v>
      </c>
      <c r="AO19" s="342">
        <v>4</v>
      </c>
      <c r="AP19" s="342">
        <v>3</v>
      </c>
      <c r="AQ19" s="342">
        <v>3</v>
      </c>
      <c r="AR19" s="342">
        <v>3</v>
      </c>
      <c r="AS19" s="342">
        <v>2</v>
      </c>
      <c r="AT19" s="342">
        <v>1</v>
      </c>
      <c r="AU19" s="342">
        <v>1</v>
      </c>
      <c r="AV19" s="342">
        <v>1</v>
      </c>
      <c r="AW19" s="342">
        <v>1</v>
      </c>
      <c r="AX19" s="342">
        <v>107</v>
      </c>
      <c r="AY19" s="341">
        <v>17</v>
      </c>
      <c r="AZ19" s="342"/>
      <c r="BA19" s="342"/>
      <c r="BB19" s="342"/>
      <c r="BC19" s="342"/>
      <c r="BD19" s="342">
        <v>4</v>
      </c>
      <c r="BG19" s="15" t="s">
        <v>468</v>
      </c>
      <c r="BH19" s="15">
        <v>1</v>
      </c>
      <c r="BI19" s="15">
        <v>2</v>
      </c>
      <c r="BJ19" s="15">
        <f>A63</f>
        <v>34</v>
      </c>
      <c r="BK19" s="15" cm="1">
        <f t="array" ref="BK19">_xlfn.IFS($AI$2&gt;=14,37,$AI$2&gt;=10,36,$AI$2&gt;=6,35,$AI$2&gt;=3,34,1,0)</f>
        <v>0</v>
      </c>
      <c r="BM19" s="16">
        <f>IFERROR(IF(BM18+1&gt;BQ2,IF(BM18+1&gt;BQ2,IF(BP3+BP18&gt;BQ3,"",BP3+BP18)),BM18+1),"")</f>
        <v>14</v>
      </c>
      <c r="BN19" s="16" t="str">
        <f>IFERROR(INDEX(B30:AO180,BM19,BN2),"")</f>
        <v/>
      </c>
      <c r="BO19" s="16" t="str">
        <f>IFERROR(INDEX(B30:AO180,BM19,BO2),"")</f>
        <v/>
      </c>
      <c r="BP19" s="16">
        <f>IFERROR(IF(BM18+1&gt;BQ2,BP18+1,0),"")</f>
        <v>0</v>
      </c>
      <c r="BS19" s="412" t="str">
        <f t="shared" si="1"/>
        <v/>
      </c>
      <c r="BT19" s="413" t="str" cm="1">
        <f t="array" ref="BT19">INDEX(BS:BS,SMALL(IF($BS$2:$BS$101&lt;&gt;"",ROW($BS$2:$BS$101),142),ROW(BS18)))&amp;""</f>
        <v/>
      </c>
      <c r="BU19" s="16" t="str">
        <f>IF(主要!AX28="","",主要!AX28)</f>
        <v/>
      </c>
      <c r="BV19" s="16" t="str">
        <f t="shared" si="2"/>
        <v/>
      </c>
    </row>
    <row r="20" spans="1:74" ht="16.5" customHeight="1">
      <c r="A20" s="254">
        <v>18</v>
      </c>
      <c r="B20" s="254"/>
      <c r="C20" s="254"/>
      <c r="D20" s="254"/>
      <c r="E20" s="254"/>
      <c r="F20" s="254"/>
      <c r="G20" s="254"/>
      <c r="H20" s="254"/>
      <c r="I20" s="254"/>
      <c r="J20" s="254"/>
      <c r="K20" s="254"/>
      <c r="L20" s="254"/>
      <c r="M20" s="254"/>
      <c r="N20" s="254"/>
      <c r="O20" s="254"/>
      <c r="P20" s="254"/>
      <c r="Q20" s="254"/>
      <c r="R20" s="254"/>
      <c r="AC20" s="777" t="s">
        <v>5832</v>
      </c>
      <c r="AD20" s="778"/>
      <c r="AE20" s="340" t="s">
        <v>162</v>
      </c>
      <c r="AF20" s="345">
        <f>IFERROR(VLOOKUP($AF$14,$AN$2:$AW$22,7,FALSE),"")</f>
        <v>0</v>
      </c>
      <c r="AG20" s="340" t="s">
        <v>137</v>
      </c>
      <c r="AH20" s="340">
        <f>IFERROR(VLOOKUP($AI$12,$AY$2:$BD$22,2,FALSE),"")</f>
        <v>0</v>
      </c>
      <c r="AI20" s="350" t="s">
        <v>155</v>
      </c>
      <c r="AJ20" s="345" t="str">
        <f>IF(AF19+AH24=0,"",AF19+AH24)</f>
        <v/>
      </c>
      <c r="AN20" s="335">
        <v>18</v>
      </c>
      <c r="AO20" s="336">
        <v>4</v>
      </c>
      <c r="AP20" s="336">
        <v>3</v>
      </c>
      <c r="AQ20" s="336">
        <v>3</v>
      </c>
      <c r="AR20" s="336">
        <v>3</v>
      </c>
      <c r="AS20" s="336">
        <v>3</v>
      </c>
      <c r="AT20" s="336">
        <v>1</v>
      </c>
      <c r="AU20" s="336">
        <v>1</v>
      </c>
      <c r="AV20" s="336">
        <v>1</v>
      </c>
      <c r="AW20" s="336">
        <v>1</v>
      </c>
      <c r="AX20" s="336">
        <v>114</v>
      </c>
      <c r="AY20" s="335">
        <v>18</v>
      </c>
      <c r="AZ20" s="336"/>
      <c r="BA20" s="336"/>
      <c r="BB20" s="336"/>
      <c r="BC20" s="336"/>
      <c r="BD20" s="336">
        <v>4</v>
      </c>
      <c r="BG20" s="15" t="s">
        <v>469</v>
      </c>
      <c r="BH20" s="15">
        <v>1</v>
      </c>
      <c r="BI20" s="15">
        <v>2</v>
      </c>
      <c r="BJ20" s="15">
        <f>A67</f>
        <v>38</v>
      </c>
      <c r="BK20" s="15" cm="1">
        <f t="array" ref="BK20">_xlfn.IFS($AI$2&gt;=14,41,$AI$2&gt;=10,40,$AI$2&gt;=6,39,$AI$2&gt;=3,38,1,0)</f>
        <v>0</v>
      </c>
      <c r="BM20" s="16">
        <f>IFERROR(IF(BM19+1&gt;BQ2,IF(BM19+1&gt;BQ2,IF(BP3+BP19&gt;BQ3,"",BP3+BP19)),BM19+1),"")</f>
        <v>15</v>
      </c>
      <c r="BN20" s="16" t="str">
        <f>IFERROR(INDEX(B30:AO180,BM20,BN2),"")</f>
        <v/>
      </c>
      <c r="BO20" s="16" t="str">
        <f>IFERROR(INDEX(B30:AO180,BM20,BO2),"")</f>
        <v/>
      </c>
      <c r="BP20" s="16">
        <f>IFERROR(IF(BM19+1&gt;BQ2,BP19+1,0),"")</f>
        <v>0</v>
      </c>
      <c r="BS20" s="412" t="str">
        <f t="shared" si="1"/>
        <v/>
      </c>
      <c r="BT20" s="413" t="str" cm="1">
        <f t="array" ref="BT20">INDEX(BS:BS,SMALL(IF($BS$2:$BS$101&lt;&gt;"",ROW($BS$2:$BS$101),142),ROW(BS19)))&amp;""</f>
        <v/>
      </c>
      <c r="BU20" s="16" t="str">
        <f>IF(主要!AX29="","",主要!AX29)</f>
        <v/>
      </c>
      <c r="BV20" s="16" t="str">
        <f t="shared" si="2"/>
        <v/>
      </c>
    </row>
    <row r="21" spans="1:74" ht="16.5" customHeight="1">
      <c r="A21" s="254">
        <v>19</v>
      </c>
      <c r="B21" s="254"/>
      <c r="C21" s="254"/>
      <c r="D21" s="254"/>
      <c r="E21" s="254"/>
      <c r="F21" s="254"/>
      <c r="G21" s="254"/>
      <c r="H21" s="254"/>
      <c r="I21" s="254"/>
      <c r="J21" s="254"/>
      <c r="K21" s="254"/>
      <c r="L21" s="254"/>
      <c r="M21" s="254"/>
      <c r="N21" s="254"/>
      <c r="O21" s="254"/>
      <c r="P21" s="254"/>
      <c r="Q21" s="254"/>
      <c r="R21" s="254"/>
      <c r="AC21" s="225" t="s">
        <v>6494</v>
      </c>
      <c r="AD21" s="226">
        <v>2</v>
      </c>
      <c r="AE21" s="340" t="s">
        <v>164</v>
      </c>
      <c r="AF21" s="345">
        <f>IFERROR(VLOOKUP($AF$14,$AN$2:$AW$22,8,FALSE),"")</f>
        <v>0</v>
      </c>
      <c r="AG21" s="340" t="s">
        <v>141</v>
      </c>
      <c r="AH21" s="340">
        <f>IFERROR(VLOOKUP($AI$12,$AY$2:$BD$22,3,FALSE),"")</f>
        <v>0</v>
      </c>
      <c r="AI21" s="350" t="s">
        <v>162</v>
      </c>
      <c r="AJ21" s="345" t="str">
        <f>IF(AF20=0,"",AF20)</f>
        <v/>
      </c>
      <c r="AN21" s="341">
        <v>19</v>
      </c>
      <c r="AO21" s="342">
        <v>4</v>
      </c>
      <c r="AP21" s="342">
        <v>3</v>
      </c>
      <c r="AQ21" s="342">
        <v>3</v>
      </c>
      <c r="AR21" s="342">
        <v>3</v>
      </c>
      <c r="AS21" s="342">
        <v>3</v>
      </c>
      <c r="AT21" s="342">
        <v>2</v>
      </c>
      <c r="AU21" s="342">
        <v>1</v>
      </c>
      <c r="AV21" s="342">
        <v>1</v>
      </c>
      <c r="AW21" s="342">
        <v>1</v>
      </c>
      <c r="AX21" s="342">
        <v>123</v>
      </c>
      <c r="AY21" s="341">
        <v>19</v>
      </c>
      <c r="AZ21" s="342"/>
      <c r="BA21" s="342"/>
      <c r="BB21" s="342"/>
      <c r="BC21" s="342"/>
      <c r="BD21" s="342">
        <v>4</v>
      </c>
      <c r="BG21" s="15" t="s">
        <v>470</v>
      </c>
      <c r="BH21" s="15">
        <v>1</v>
      </c>
      <c r="BI21" s="15">
        <v>2</v>
      </c>
      <c r="BJ21" s="15">
        <f>A71</f>
        <v>42</v>
      </c>
      <c r="BK21" s="15" cm="1">
        <f t="array" ref="BK21">_xlfn.IFS($AI$2&gt;=14,46,$AI$2&gt;=10,45,$AI$2&gt;=6,44,$AI$2&gt;=3,43,1,0)</f>
        <v>0</v>
      </c>
      <c r="BM21" s="16">
        <f>IFERROR(IF(BM20+1&gt;BQ2,IF(BM20+1&gt;BQ2,IF(BP3+BP20&gt;BQ3,"",BP3+BP20)),BM20+1),"")</f>
        <v>16</v>
      </c>
      <c r="BN21" s="16" t="str">
        <f>IFERROR(INDEX(B30:AO180,BM21,BN2),"")</f>
        <v/>
      </c>
      <c r="BO21" s="16" t="str">
        <f>IFERROR(INDEX(B30:AO180,BM21,BO2),"")</f>
        <v/>
      </c>
      <c r="BP21" s="16">
        <f>IFERROR(IF(BM20+1&gt;BQ2,BP20+1,0),"")</f>
        <v>0</v>
      </c>
      <c r="BS21" s="412" t="str">
        <f t="shared" si="1"/>
        <v/>
      </c>
      <c r="BT21" s="413" t="str" cm="1">
        <f t="array" ref="BT21">INDEX(BS:BS,SMALL(IF($BS$2:$BS$101&lt;&gt;"",ROW($BS$2:$BS$101),142),ROW(BS20)))&amp;""</f>
        <v/>
      </c>
      <c r="BU21" s="16" t="str">
        <f>IF(主要!AX30="","",主要!AX30)</f>
        <v/>
      </c>
      <c r="BV21" s="16" t="str">
        <f t="shared" si="2"/>
        <v/>
      </c>
    </row>
    <row r="22" spans="1:74" ht="16.5" customHeight="1">
      <c r="A22" s="254">
        <v>20</v>
      </c>
      <c r="B22" s="254"/>
      <c r="C22" s="254"/>
      <c r="D22" s="254"/>
      <c r="E22" s="254"/>
      <c r="F22" s="254"/>
      <c r="G22" s="254"/>
      <c r="H22" s="254"/>
      <c r="I22" s="254"/>
      <c r="J22" s="254"/>
      <c r="K22" s="254"/>
      <c r="L22" s="254"/>
      <c r="M22" s="254"/>
      <c r="N22" s="254"/>
      <c r="O22" s="254"/>
      <c r="P22" s="254"/>
      <c r="Q22" s="254"/>
      <c r="R22" s="254"/>
      <c r="AC22" s="225" t="s">
        <v>6495</v>
      </c>
      <c r="AD22" s="226">
        <v>3</v>
      </c>
      <c r="AE22" s="340" t="s">
        <v>170</v>
      </c>
      <c r="AF22" s="345">
        <f>IFERROR(VLOOKUP($AF$14,$AN$2:$AW$22,9,FALSE),"")</f>
        <v>0</v>
      </c>
      <c r="AG22" s="340" t="s">
        <v>142</v>
      </c>
      <c r="AH22" s="340">
        <f>IFERROR(VLOOKUP($AI$12,$AY$2:$BD$22,4,FALSE),"")</f>
        <v>0</v>
      </c>
      <c r="AI22" s="350" t="s">
        <v>164</v>
      </c>
      <c r="AJ22" s="345" t="str">
        <f>IF(AF21=0,"",AF21)</f>
        <v/>
      </c>
      <c r="AN22" s="335">
        <v>20</v>
      </c>
      <c r="AO22" s="336">
        <v>4</v>
      </c>
      <c r="AP22" s="336">
        <v>3</v>
      </c>
      <c r="AQ22" s="336">
        <v>3</v>
      </c>
      <c r="AR22" s="336">
        <v>3</v>
      </c>
      <c r="AS22" s="336">
        <v>3</v>
      </c>
      <c r="AT22" s="336">
        <v>2</v>
      </c>
      <c r="AU22" s="336">
        <v>2</v>
      </c>
      <c r="AV22" s="336">
        <v>1</v>
      </c>
      <c r="AW22" s="336">
        <v>1</v>
      </c>
      <c r="AX22" s="336">
        <v>133</v>
      </c>
      <c r="AY22" s="335">
        <v>20</v>
      </c>
      <c r="AZ22" s="336" t="str">
        <f>""</f>
        <v/>
      </c>
      <c r="BA22" s="336" t="str">
        <f>""</f>
        <v/>
      </c>
      <c r="BB22" s="336" t="str">
        <f>""</f>
        <v/>
      </c>
      <c r="BC22" s="336" t="str">
        <f>""</f>
        <v/>
      </c>
      <c r="BD22" s="336">
        <v>4</v>
      </c>
      <c r="BG22" s="15" t="s">
        <v>471</v>
      </c>
      <c r="BH22" s="15">
        <v>1</v>
      </c>
      <c r="BI22" s="15">
        <v>2</v>
      </c>
      <c r="BJ22" s="15">
        <v>47</v>
      </c>
      <c r="BK22" s="15" cm="1">
        <f t="array" ref="BK22">_xlfn.IFS($AI$2&gt;=14,51,$AI$2&gt;=10,50,$AI$2&gt;=6,49,$AI$2&gt;=3,48,1,0)</f>
        <v>0</v>
      </c>
      <c r="BM22" s="16">
        <f>IFERROR(IF(BM21+1&gt;BQ2,IF(BM21+1&gt;BQ2,IF(BP3+BP21&gt;BQ3,"",BP3+BP21)),BM21+1),"")</f>
        <v>17</v>
      </c>
      <c r="BN22" s="16" t="str">
        <f>IFERROR(INDEX(B30:AO180,BM22,BN2),"")</f>
        <v/>
      </c>
      <c r="BO22" s="16" t="str">
        <f>IFERROR(INDEX(B30:AO180,BM22,BO2),"")</f>
        <v/>
      </c>
      <c r="BP22" s="16">
        <f>IFERROR(IF(BM21+1&gt;BQ2,BP21+1,0),"")</f>
        <v>0</v>
      </c>
      <c r="BS22" s="412" t="str">
        <f t="shared" si="1"/>
        <v/>
      </c>
      <c r="BT22" s="413" t="str" cm="1">
        <f t="array" ref="BT22">INDEX(BS:BS,SMALL(IF($BS$2:$BS$101&lt;&gt;"",ROW($BS$2:$BS$101),142),ROW(BS21)))&amp;""</f>
        <v/>
      </c>
      <c r="BU22" s="16" t="str">
        <f>IF(主要!AX31="","",主要!AX31)</f>
        <v/>
      </c>
      <c r="BV22" s="16" t="str">
        <f t="shared" si="2"/>
        <v/>
      </c>
    </row>
    <row r="23" spans="1:74" ht="16.5" customHeight="1">
      <c r="AC23" s="225" t="s">
        <v>6496</v>
      </c>
      <c r="AD23" s="226">
        <v>4</v>
      </c>
      <c r="AE23" s="340" t="s">
        <v>176</v>
      </c>
      <c r="AF23" s="345">
        <f>IFERROR(VLOOKUP($AF$14,$AN$2:$AW$22,10,FALSE),"")</f>
        <v>0</v>
      </c>
      <c r="AG23" s="340" t="s">
        <v>150</v>
      </c>
      <c r="AH23" s="340">
        <f>IFERROR(VLOOKUP($AI$12,$AY$2:$BD$22,5,FALSE),"")</f>
        <v>0</v>
      </c>
      <c r="AI23" s="350" t="s">
        <v>170</v>
      </c>
      <c r="AJ23" s="345" t="str">
        <f>IF(AF22=0,"",AF22)</f>
        <v/>
      </c>
      <c r="BG23" s="15" t="s">
        <v>472</v>
      </c>
      <c r="BH23" s="15">
        <v>1</v>
      </c>
      <c r="BI23" s="15">
        <v>2</v>
      </c>
      <c r="BJ23" s="15">
        <v>52</v>
      </c>
      <c r="BK23" s="15" cm="1">
        <f t="array" ref="BK23">_xlfn.IFS($AI$2&gt;=14,56,$AI$2&gt;=10,55,$AI$2&gt;=6,54,$AI$2&gt;=3,53,1,0)</f>
        <v>0</v>
      </c>
      <c r="BM23" s="16">
        <f>IFERROR(IF(BM22+1&gt;BQ2,IF(BM22+1&gt;BQ2,IF(BP3+BP22&gt;BQ3,"",BP3+BP22)),BM22+1),"")</f>
        <v>18</v>
      </c>
      <c r="BN23" s="16" t="str">
        <f>IFERROR(INDEX(B30:AO180,BM23,BN2),"")</f>
        <v/>
      </c>
      <c r="BO23" s="16" t="str">
        <f>IFERROR(INDEX(B30:AO180,BM23,BO2),"")</f>
        <v/>
      </c>
      <c r="BP23" s="16">
        <f>IFERROR(IF(BM22+1&gt;BQ2,BP22+1,0),"")</f>
        <v>0</v>
      </c>
      <c r="BS23" s="412" t="str">
        <f t="shared" si="1"/>
        <v/>
      </c>
      <c r="BT23" s="413" t="str" cm="1">
        <f t="array" ref="BT23">INDEX(BS:BS,SMALL(IF($BS$2:$BS$101&lt;&gt;"",ROW($BS$2:$BS$101),142),ROW(BS22)))&amp;""</f>
        <v/>
      </c>
      <c r="BU23" s="16" t="str">
        <f>IF(主要!AX32="","",主要!AX32)</f>
        <v/>
      </c>
      <c r="BV23" s="16" t="str">
        <f t="shared" si="2"/>
        <v/>
      </c>
    </row>
    <row r="24" spans="1:74" ht="16.5" customHeight="1" thickBot="1">
      <c r="AC24" s="227" t="s">
        <v>6497</v>
      </c>
      <c r="AD24" s="228">
        <v>5</v>
      </c>
      <c r="AE24" s="346" t="s">
        <v>5998</v>
      </c>
      <c r="AF24" s="347">
        <f>IFERROR(VLOOKUP($AF$14,$AN$2:$AX$22,11,FALSE),"")</f>
        <v>0</v>
      </c>
      <c r="AG24" s="352" t="s">
        <v>155</v>
      </c>
      <c r="AH24" s="352">
        <f>IFERROR(VLOOKUP($AI$12,$AY$2:$BD$22,6,FALSE),"")</f>
        <v>0</v>
      </c>
      <c r="AI24" s="346" t="s">
        <v>176</v>
      </c>
      <c r="AJ24" s="347" t="str">
        <f>IF(AF23=0,"",AF23)</f>
        <v/>
      </c>
      <c r="BG24" s="15" t="s">
        <v>4569</v>
      </c>
      <c r="BH24" s="15">
        <v>1</v>
      </c>
      <c r="BI24" s="15">
        <v>2</v>
      </c>
      <c r="BJ24" s="15">
        <v>57</v>
      </c>
      <c r="BK24" s="15" cm="1">
        <f t="array" ref="BK24">_xlfn.IFS($AI$2&gt;=14,61,$AI$2&gt;=10,60,$AI$2&gt;=6,59,$AI$2&gt;=3,58,1,0)</f>
        <v>0</v>
      </c>
      <c r="BM24" s="16">
        <f>IFERROR(IF(BM23+1&gt;BQ2,IF(BM23+1&gt;BQ2,IF(BP3+BP23&gt;BQ3,"",BP3+BP23)),BM23+1),"")</f>
        <v>19</v>
      </c>
      <c r="BN24" s="16" t="str">
        <f>IFERROR(INDEX(B30:AO180,BM24,BN2),"")</f>
        <v/>
      </c>
      <c r="BO24" s="16" t="str">
        <f>IFERROR(INDEX(B30:AO180,BM24,BO2),"")</f>
        <v/>
      </c>
      <c r="BP24" s="16">
        <f>IFERROR(IF(BM23+1&gt;BQ2,BP23+1,0),"")</f>
        <v>0</v>
      </c>
      <c r="BS24" s="412" t="str">
        <f t="shared" si="1"/>
        <v/>
      </c>
      <c r="BT24" s="413" t="str" cm="1">
        <f t="array" ref="BT24">INDEX(BS:BS,SMALL(IF($BS$2:$BS$101&lt;&gt;"",ROW($BS$2:$BS$101),142),ROW(BS23)))&amp;""</f>
        <v/>
      </c>
      <c r="BU24" s="16" t="str">
        <f>IF(主要!AX33="","",主要!AX33)</f>
        <v/>
      </c>
      <c r="BV24" s="16" t="str">
        <f t="shared" si="2"/>
        <v/>
      </c>
    </row>
    <row r="25" spans="1:74" ht="16.5" customHeight="1" thickTop="1">
      <c r="BG25" s="235" t="s">
        <v>3576</v>
      </c>
      <c r="BH25" s="235">
        <v>3</v>
      </c>
      <c r="BI25" s="235">
        <v>4</v>
      </c>
      <c r="BJ25" s="235">
        <v>23</v>
      </c>
      <c r="BK25" s="235" cm="1">
        <f t="array" ref="BK25">_xlfn.IFS($AI$3&gt;=14,26,$AI$3&gt;=6,25,$AI$3&gt;=3,24,1,0)</f>
        <v>0</v>
      </c>
      <c r="BM25" s="16">
        <f>IFERROR(IF(BM24+1&gt;BQ2,IF(BM24+1&gt;BQ2,IF(BP3+BP24&gt;BQ3,"",BP3+BP24)),BM24+1),"")</f>
        <v>20</v>
      </c>
      <c r="BN25" s="16" t="str">
        <f>IFERROR(INDEX(B30:AO180,BM25,BN2),"")</f>
        <v/>
      </c>
      <c r="BO25" s="16" t="str">
        <f>IFERROR(INDEX(B30:AO180,BM25,BO2),"")</f>
        <v/>
      </c>
      <c r="BP25" s="16">
        <f>IFERROR(IF(BM24+1&gt;BQ2,BP24+1,0),"")</f>
        <v>0</v>
      </c>
      <c r="BS25" s="412" t="str">
        <f t="shared" si="1"/>
        <v/>
      </c>
      <c r="BT25" s="413" t="str" cm="1">
        <f t="array" ref="BT25">INDEX(BS:BS,SMALL(IF($BS$2:$BS$101&lt;&gt;"",ROW($BS$2:$BS$101),142),ROW(BS24)))&amp;""</f>
        <v/>
      </c>
      <c r="BU25" s="16" t="str">
        <f>IF(主要!AX34="","",主要!AX34)</f>
        <v/>
      </c>
      <c r="BV25" s="16" t="str">
        <f t="shared" si="2"/>
        <v/>
      </c>
    </row>
    <row r="26" spans="1:74" ht="16.5" customHeight="1">
      <c r="BG26" s="15" t="s">
        <v>3577</v>
      </c>
      <c r="BH26" s="15">
        <v>3</v>
      </c>
      <c r="BI26" s="15">
        <v>4</v>
      </c>
      <c r="BJ26" s="15">
        <v>27</v>
      </c>
      <c r="BK26" s="15" cm="1">
        <f t="array" ref="BK26">_xlfn.IFS($AI$3&gt;=14,30,$AI$3&gt;=6,29,$AI$3&gt;=3,28,1,0)</f>
        <v>0</v>
      </c>
      <c r="BM26" s="16">
        <f>IFERROR(IF(BM25+1&gt;BQ2,IF(BM25+1&gt;BQ2,IF(BP3+BP25&gt;BQ3,"",BP3+BP25)),BM25+1),"")</f>
        <v>21</v>
      </c>
      <c r="BN26" s="16" t="str">
        <f>IFERROR(INDEX(B30:AO180,BM26,BN2),"")</f>
        <v/>
      </c>
      <c r="BO26" s="16" t="str">
        <f>IFERROR(INDEX(B30:AO180,BM26,BO2),"")</f>
        <v/>
      </c>
      <c r="BP26" s="16">
        <f>IFERROR(IF(BM25+1&gt;BQ2,BP25+1,0),"")</f>
        <v>0</v>
      </c>
      <c r="BS26" s="412" t="str">
        <f t="shared" si="1"/>
        <v/>
      </c>
      <c r="BT26" s="413" t="str" cm="1">
        <f t="array" ref="BT26">INDEX(BS:BS,SMALL(IF($BS$2:$BS$101&lt;&gt;"",ROW($BS$2:$BS$101),142),ROW(BS25)))&amp;""</f>
        <v/>
      </c>
      <c r="BU26" s="16" t="str">
        <f>IF(主要!AX35="","",主要!AX35)</f>
        <v/>
      </c>
      <c r="BV26" s="16" t="str">
        <f t="shared" si="2"/>
        <v/>
      </c>
    </row>
    <row r="27" spans="1:74" ht="16.5" customHeight="1">
      <c r="BG27" s="15" t="s">
        <v>3578</v>
      </c>
      <c r="BH27" s="15">
        <v>3</v>
      </c>
      <c r="BI27" s="15">
        <v>4</v>
      </c>
      <c r="BJ27" s="15">
        <v>31</v>
      </c>
      <c r="BK27" s="15" cm="1">
        <f t="array" ref="BK27">_xlfn.IFS($AI$3&gt;=14,34,$AI$3&gt;=6,33,$AI$3&gt;=3,32,1,0)</f>
        <v>0</v>
      </c>
      <c r="BM27" s="16">
        <f>IFERROR(IF(BM26+1&gt;BQ2,IF(BM26+1&gt;BQ2,IF(BP3+BP26&gt;BQ3,"",BP3+BP26)),BM26+1),"")</f>
        <v>22</v>
      </c>
      <c r="BN27" s="16" t="str">
        <f>IFERROR(INDEX(B30:AO180,BM27,BN2),"")</f>
        <v/>
      </c>
      <c r="BO27" s="16" t="str">
        <f>IFERROR(INDEX(B30:AO180,BM27,BO2),"")</f>
        <v/>
      </c>
      <c r="BP27" s="16">
        <f>IFERROR(IF(BM26+1&gt;BQ2,BP26+1,0),"")</f>
        <v>0</v>
      </c>
      <c r="BS27" s="412" t="str">
        <f t="shared" si="1"/>
        <v/>
      </c>
      <c r="BT27" s="413" t="str" cm="1">
        <f t="array" ref="BT27">INDEX(BS:BS,SMALL(IF($BS$2:$BS$101&lt;&gt;"",ROW($BS$2:$BS$101),142),ROW(BS26)))&amp;""</f>
        <v/>
      </c>
      <c r="BU27" s="16" t="str">
        <f>IF(主要!AX36="","",主要!AX36)</f>
        <v/>
      </c>
      <c r="BV27" s="16" t="str">
        <f t="shared" si="2"/>
        <v/>
      </c>
    </row>
    <row r="28" spans="1:74" ht="16.5" customHeight="1" thickBot="1">
      <c r="A28" s="233"/>
      <c r="B28" s="233">
        <v>1</v>
      </c>
      <c r="C28" s="233">
        <v>2</v>
      </c>
      <c r="D28" s="233">
        <v>3</v>
      </c>
      <c r="E28" s="233">
        <v>4</v>
      </c>
      <c r="F28" s="233">
        <v>5</v>
      </c>
      <c r="G28" s="233">
        <v>6</v>
      </c>
      <c r="H28" s="233">
        <v>7</v>
      </c>
      <c r="I28" s="233">
        <v>8</v>
      </c>
      <c r="J28" s="233">
        <v>9</v>
      </c>
      <c r="K28" s="233">
        <v>10</v>
      </c>
      <c r="L28" s="233">
        <v>11</v>
      </c>
      <c r="M28" s="233">
        <v>12</v>
      </c>
      <c r="N28" s="233">
        <v>13</v>
      </c>
      <c r="O28" s="233">
        <v>14</v>
      </c>
      <c r="P28" s="233">
        <v>15</v>
      </c>
      <c r="Q28" s="233">
        <v>16</v>
      </c>
      <c r="R28" s="233">
        <v>17</v>
      </c>
      <c r="S28" s="233">
        <v>18</v>
      </c>
      <c r="T28" s="233">
        <v>19</v>
      </c>
      <c r="U28" s="233">
        <v>20</v>
      </c>
      <c r="V28" s="233">
        <v>21</v>
      </c>
      <c r="W28" s="233">
        <v>22</v>
      </c>
      <c r="X28" s="233">
        <v>23</v>
      </c>
      <c r="Y28" s="233">
        <v>24</v>
      </c>
      <c r="Z28" s="233">
        <v>25</v>
      </c>
      <c r="AA28" s="233">
        <v>26</v>
      </c>
      <c r="AB28" s="233">
        <v>27</v>
      </c>
      <c r="AC28" s="233">
        <v>28</v>
      </c>
      <c r="AD28" s="233">
        <v>29</v>
      </c>
      <c r="AE28" s="233">
        <v>30</v>
      </c>
      <c r="AF28" s="233">
        <v>31</v>
      </c>
      <c r="AG28" s="233">
        <v>32</v>
      </c>
      <c r="AH28" s="233">
        <v>33</v>
      </c>
      <c r="AI28" s="233">
        <v>34</v>
      </c>
      <c r="AJ28" s="233">
        <v>35</v>
      </c>
      <c r="AK28" s="233">
        <v>36</v>
      </c>
      <c r="AL28" s="233">
        <v>37</v>
      </c>
      <c r="AM28" s="233">
        <v>38</v>
      </c>
      <c r="AN28" s="233">
        <v>39</v>
      </c>
      <c r="AO28" s="233">
        <v>40</v>
      </c>
      <c r="BG28" s="15" t="s">
        <v>3579</v>
      </c>
      <c r="BH28" s="15">
        <v>3</v>
      </c>
      <c r="BI28" s="15">
        <v>4</v>
      </c>
      <c r="BJ28" s="15">
        <v>35</v>
      </c>
      <c r="BK28" s="15" cm="1">
        <f t="array" ref="BK28">_xlfn.IFS($AI$3&gt;=14,39,$AI$3&gt;=6,38,$AI$3&gt;=3,37,1,0)</f>
        <v>0</v>
      </c>
      <c r="BM28" s="16">
        <f>IFERROR(IF(BM27+1&gt;BQ2,IF(BM27+1&gt;BQ2,IF(BP3+BP27&gt;BQ3,"",BP3+BP27)),BM27+1),"")</f>
        <v>23</v>
      </c>
      <c r="BN28" s="16" t="str">
        <f>IFERROR(INDEX(B30:AO180,BM28,BN2),"")</f>
        <v/>
      </c>
      <c r="BO28" s="16" t="str">
        <f>IFERROR(INDEX(B30:AO180,BM28,BO2),"")</f>
        <v/>
      </c>
      <c r="BP28" s="16">
        <f>IFERROR(IF(BM27+1&gt;BQ2,BP27+1,0),"")</f>
        <v>0</v>
      </c>
      <c r="BS28" s="412" t="str">
        <f t="shared" si="1"/>
        <v/>
      </c>
      <c r="BT28" s="413" t="str" cm="1">
        <f t="array" ref="BT28">INDEX(BS:BS,SMALL(IF($BS$2:$BS$101&lt;&gt;"",ROW($BS$2:$BS$101),142),ROW(BS27)))&amp;""</f>
        <v/>
      </c>
      <c r="BU28" s="16" t="str">
        <f>IF(主要!AX37="","",主要!AX37)</f>
        <v/>
      </c>
      <c r="BV28" s="16" t="str">
        <f t="shared" si="2"/>
        <v/>
      </c>
    </row>
    <row r="29" spans="1:74" ht="16.5" customHeight="1" thickBot="1">
      <c r="A29" s="233"/>
      <c r="B29" s="774" t="s">
        <v>169</v>
      </c>
      <c r="C29" s="775"/>
      <c r="D29" s="774" t="s">
        <v>175</v>
      </c>
      <c r="E29" s="775"/>
      <c r="F29" s="774" t="s">
        <v>197</v>
      </c>
      <c r="G29" s="775"/>
      <c r="H29" s="774" t="s">
        <v>209</v>
      </c>
      <c r="I29" s="775"/>
      <c r="J29" s="774" t="s">
        <v>180</v>
      </c>
      <c r="K29" s="775"/>
      <c r="L29" s="774" t="s">
        <v>215</v>
      </c>
      <c r="M29" s="775"/>
      <c r="N29" s="774" t="s">
        <v>203</v>
      </c>
      <c r="O29" s="775"/>
      <c r="P29" s="774" t="s">
        <v>235</v>
      </c>
      <c r="Q29" s="775"/>
      <c r="R29" s="774" t="s">
        <v>225</v>
      </c>
      <c r="S29" s="775"/>
      <c r="T29" s="774" t="s">
        <v>221</v>
      </c>
      <c r="U29" s="775"/>
      <c r="V29" s="774" t="s">
        <v>1990</v>
      </c>
      <c r="W29" s="775"/>
      <c r="X29" s="774" t="s">
        <v>230</v>
      </c>
      <c r="Y29" s="775"/>
      <c r="Z29" s="774" t="s">
        <v>473</v>
      </c>
      <c r="AA29" s="775"/>
      <c r="AB29" s="776" t="s">
        <v>530</v>
      </c>
      <c r="AC29" s="776"/>
      <c r="AD29" s="776" t="s">
        <v>530</v>
      </c>
      <c r="AE29" s="776"/>
      <c r="AF29" s="776" t="s">
        <v>530</v>
      </c>
      <c r="AG29" s="776"/>
      <c r="AH29" s="776" t="s">
        <v>530</v>
      </c>
      <c r="AI29" s="776"/>
      <c r="AJ29" s="776" t="s">
        <v>530</v>
      </c>
      <c r="AK29" s="776"/>
      <c r="AL29" s="776" t="s">
        <v>530</v>
      </c>
      <c r="AM29" s="776"/>
      <c r="AN29" s="776" t="s">
        <v>530</v>
      </c>
      <c r="AO29" s="776"/>
      <c r="BG29" s="15" t="s">
        <v>3580</v>
      </c>
      <c r="BH29" s="15">
        <v>3</v>
      </c>
      <c r="BI29" s="15">
        <v>4</v>
      </c>
      <c r="BJ29" s="15">
        <v>40</v>
      </c>
      <c r="BK29" s="15" cm="1">
        <f t="array" ref="BK29">_xlfn.IFS($AI$3&gt;=14,43,$AI$3&gt;=6,42,$AI$3&gt;=3,41,1,0)</f>
        <v>0</v>
      </c>
      <c r="BM29" s="16">
        <f>IFERROR(IF(BM28+1&gt;BQ2,IF(BM28+1&gt;BQ2,IF(BP3+BP28&gt;BQ3,"",BP3+BP28)),BM28+1),"")</f>
        <v>24</v>
      </c>
      <c r="BN29" s="16" t="str">
        <f>IFERROR(INDEX(B30:AO180,BM29,BN2),"")</f>
        <v/>
      </c>
      <c r="BO29" s="16" t="str">
        <f>IFERROR(INDEX(B30:AO180,BM29,BO2),"")</f>
        <v/>
      </c>
      <c r="BP29" s="16">
        <f>IFERROR(IF(BM28+1&gt;BQ2,BP28+1,0),"")</f>
        <v>0</v>
      </c>
      <c r="BS29" s="412" t="str">
        <f t="shared" si="1"/>
        <v/>
      </c>
      <c r="BT29" s="413" t="str" cm="1">
        <f t="array" ref="BT29">INDEX(BS:BS,SMALL(IF($BS$2:$BS$101&lt;&gt;"",ROW($BS$2:$BS$101),142),ROW(BS28)))&amp;""</f>
        <v/>
      </c>
      <c r="BU29" s="16" t="str">
        <f>IF(主要!AX38="","",主要!AX38)</f>
        <v/>
      </c>
      <c r="BV29" s="16" t="str">
        <f t="shared" si="2"/>
        <v/>
      </c>
    </row>
    <row r="30" spans="1:74" ht="16.5" customHeight="1">
      <c r="A30" s="233">
        <v>1</v>
      </c>
      <c r="B30" s="386" t="s">
        <v>531</v>
      </c>
      <c r="C30" s="387" t="s">
        <v>532</v>
      </c>
      <c r="D30" s="388" t="s">
        <v>531</v>
      </c>
      <c r="E30" s="387" t="s">
        <v>533</v>
      </c>
      <c r="F30" s="388" t="s">
        <v>531</v>
      </c>
      <c r="G30" s="387" t="s">
        <v>532</v>
      </c>
      <c r="H30" s="388" t="s">
        <v>531</v>
      </c>
      <c r="I30" s="387" t="s">
        <v>534</v>
      </c>
      <c r="J30" s="388" t="s">
        <v>531</v>
      </c>
      <c r="K30" s="387" t="s">
        <v>535</v>
      </c>
      <c r="L30" s="388" t="s">
        <v>531</v>
      </c>
      <c r="M30" s="387" t="s">
        <v>536</v>
      </c>
      <c r="N30" s="388" t="s">
        <v>531</v>
      </c>
      <c r="O30" s="387" t="s">
        <v>537</v>
      </c>
      <c r="P30" s="388" t="s">
        <v>531</v>
      </c>
      <c r="Q30" s="387" t="s">
        <v>532</v>
      </c>
      <c r="R30" s="388" t="s">
        <v>531</v>
      </c>
      <c r="S30" s="387" t="s">
        <v>533</v>
      </c>
      <c r="T30" s="388" t="s">
        <v>531</v>
      </c>
      <c r="U30" s="387" t="s">
        <v>536</v>
      </c>
      <c r="V30" s="388" t="s">
        <v>531</v>
      </c>
      <c r="W30" s="387" t="s">
        <v>533</v>
      </c>
      <c r="X30" s="388" t="s">
        <v>531</v>
      </c>
      <c r="Y30" s="387" t="s">
        <v>536</v>
      </c>
      <c r="Z30" s="388" t="s">
        <v>531</v>
      </c>
      <c r="AA30" s="388" t="s">
        <v>532</v>
      </c>
      <c r="AB30" s="389"/>
      <c r="AC30" s="389"/>
      <c r="AD30" s="389"/>
      <c r="AE30" s="389"/>
      <c r="AF30" s="389"/>
      <c r="AG30" s="389"/>
      <c r="AH30" s="389"/>
      <c r="AI30" s="389"/>
      <c r="AJ30" s="389"/>
      <c r="AK30" s="389"/>
      <c r="AL30" s="389"/>
      <c r="AM30" s="389"/>
      <c r="AN30" s="389"/>
      <c r="AO30" s="390"/>
      <c r="BG30" s="15" t="s">
        <v>3581</v>
      </c>
      <c r="BH30" s="15">
        <v>3</v>
      </c>
      <c r="BI30" s="15">
        <v>4</v>
      </c>
      <c r="BJ30" s="15">
        <v>44</v>
      </c>
      <c r="BK30" s="15" cm="1">
        <f t="array" ref="BK30">_xlfn.IFS($AI$3&gt;=14,47,$AI$3&gt;=6,46,$AI$3&gt;=3,45,1,0)</f>
        <v>0</v>
      </c>
      <c r="BM30" s="16">
        <f>IFERROR(IF(BM29+1&gt;BQ2,IF(BM29+1&gt;BQ2,IF(BP3+BP29&gt;BQ3,"",BP3+BP29)),BM29+1),"")</f>
        <v>25</v>
      </c>
      <c r="BN30" s="16" t="str">
        <f>IFERROR(INDEX(B30:AO180,BM30,BN2),"")</f>
        <v/>
      </c>
      <c r="BO30" s="16" t="str">
        <f>IFERROR(INDEX(B30:AO180,BM30,BO2),"")</f>
        <v/>
      </c>
      <c r="BP30" s="16">
        <f>IFERROR(IF(BM29+1&gt;BQ2,BP29+1,0),"")</f>
        <v>0</v>
      </c>
      <c r="BS30" s="412" t="str">
        <f t="shared" si="1"/>
        <v/>
      </c>
      <c r="BT30" s="413" t="str" cm="1">
        <f t="array" ref="BT30">INDEX(BS:BS,SMALL(IF($BS$2:$BS$101&lt;&gt;"",ROW($BS$2:$BS$101),142),ROW(BS29)))&amp;""</f>
        <v/>
      </c>
      <c r="BU30" s="16" t="str">
        <f>IF(主要!AX39="","",主要!AX39)</f>
        <v/>
      </c>
      <c r="BV30" s="16" t="str">
        <f t="shared" si="2"/>
        <v/>
      </c>
    </row>
    <row r="31" spans="1:74" ht="16.5" customHeight="1">
      <c r="A31" s="233">
        <v>2</v>
      </c>
      <c r="B31" s="386" t="s">
        <v>538</v>
      </c>
      <c r="C31" s="387" t="s">
        <v>539</v>
      </c>
      <c r="D31" s="388" t="s">
        <v>538</v>
      </c>
      <c r="E31" s="387" t="s">
        <v>540</v>
      </c>
      <c r="F31" s="388" t="s">
        <v>538</v>
      </c>
      <c r="G31" s="387" t="s">
        <v>541</v>
      </c>
      <c r="H31" s="388" t="s">
        <v>538</v>
      </c>
      <c r="I31" s="387" t="s">
        <v>542</v>
      </c>
      <c r="J31" s="388" t="s">
        <v>538</v>
      </c>
      <c r="K31" s="387" t="s">
        <v>539</v>
      </c>
      <c r="L31" s="388" t="s">
        <v>538</v>
      </c>
      <c r="M31" s="387" t="s">
        <v>543</v>
      </c>
      <c r="N31" s="388" t="s">
        <v>538</v>
      </c>
      <c r="O31" s="387" t="s">
        <v>544</v>
      </c>
      <c r="P31" s="388" t="s">
        <v>538</v>
      </c>
      <c r="Q31" s="387" t="s">
        <v>539</v>
      </c>
      <c r="R31" s="388" t="s">
        <v>538</v>
      </c>
      <c r="S31" s="387" t="s">
        <v>540</v>
      </c>
      <c r="T31" s="388" t="s">
        <v>538</v>
      </c>
      <c r="U31" s="387" t="s">
        <v>545</v>
      </c>
      <c r="V31" s="388" t="s">
        <v>538</v>
      </c>
      <c r="W31" s="387" t="s">
        <v>541</v>
      </c>
      <c r="X31" s="388" t="s">
        <v>538</v>
      </c>
      <c r="Y31" s="387" t="s">
        <v>545</v>
      </c>
      <c r="Z31" s="388" t="s">
        <v>538</v>
      </c>
      <c r="AA31" s="388" t="s">
        <v>541</v>
      </c>
      <c r="AB31" s="389"/>
      <c r="AC31" s="389"/>
      <c r="AD31" s="389"/>
      <c r="AE31" s="389"/>
      <c r="AF31" s="389"/>
      <c r="AG31" s="389"/>
      <c r="AH31" s="389"/>
      <c r="AI31" s="389"/>
      <c r="AJ31" s="389"/>
      <c r="AK31" s="389"/>
      <c r="AL31" s="389"/>
      <c r="AM31" s="389"/>
      <c r="AN31" s="389"/>
      <c r="AO31" s="390"/>
      <c r="BG31" s="15" t="s">
        <v>3582</v>
      </c>
      <c r="BH31" s="15">
        <v>3</v>
      </c>
      <c r="BI31" s="15">
        <v>4</v>
      </c>
      <c r="BJ31" s="15">
        <v>48</v>
      </c>
      <c r="BK31" s="15" cm="1">
        <f t="array" ref="BK31">_xlfn.IFS($AI$3&gt;=14,52,$AI$3&gt;=6,51,$AI$3&gt;=3,49,1,0)</f>
        <v>0</v>
      </c>
      <c r="BM31" s="16">
        <f>IFERROR(IF(BM30+1&gt;BQ2,IF(BM30+1&gt;BQ2,IF(BP3+BP30&gt;BQ3,"",BP3+BP30)),BM30+1),"")</f>
        <v>26</v>
      </c>
      <c r="BN31" s="16" t="str">
        <f>IFERROR(INDEX(B30:AO180,BM31,BN2),"")</f>
        <v/>
      </c>
      <c r="BO31" s="16" t="str">
        <f>IFERROR(INDEX(B30:AO180,BM31,BO2),"")</f>
        <v/>
      </c>
      <c r="BP31" s="16">
        <f>IFERROR(IF(BM30+1&gt;BQ2,BP30+1,0),"")</f>
        <v>0</v>
      </c>
      <c r="BS31" s="412" t="str">
        <f t="shared" si="1"/>
        <v/>
      </c>
      <c r="BT31" s="413" t="str" cm="1">
        <f t="array" ref="BT31">INDEX(BS:BS,SMALL(IF($BS$2:$BS$101&lt;&gt;"",ROW($BS$2:$BS$101),142),ROW(BS30)))&amp;""</f>
        <v/>
      </c>
      <c r="BU31" s="16" t="str">
        <f>IF(主要!AX40="","",主要!AX40)</f>
        <v/>
      </c>
      <c r="BV31" s="16" t="str">
        <f t="shared" si="2"/>
        <v/>
      </c>
    </row>
    <row r="32" spans="1:74" ht="16.5" customHeight="1" thickBot="1">
      <c r="A32" s="233">
        <v>3</v>
      </c>
      <c r="B32" s="386" t="s">
        <v>546</v>
      </c>
      <c r="C32" s="387" t="s">
        <v>536</v>
      </c>
      <c r="D32" s="388" t="s">
        <v>546</v>
      </c>
      <c r="E32" s="387" t="s">
        <v>547</v>
      </c>
      <c r="F32" s="388" t="s">
        <v>546</v>
      </c>
      <c r="G32" s="387" t="s">
        <v>536</v>
      </c>
      <c r="H32" s="388" t="s">
        <v>546</v>
      </c>
      <c r="I32" s="387" t="s">
        <v>375</v>
      </c>
      <c r="J32" s="388" t="s">
        <v>546</v>
      </c>
      <c r="K32" s="387" t="s">
        <v>536</v>
      </c>
      <c r="L32" s="388" t="s">
        <v>546</v>
      </c>
      <c r="M32" s="387" t="s">
        <v>548</v>
      </c>
      <c r="N32" s="388" t="s">
        <v>546</v>
      </c>
      <c r="O32" s="387" t="s">
        <v>536</v>
      </c>
      <c r="P32" s="388" t="s">
        <v>546</v>
      </c>
      <c r="Q32" s="387" t="s">
        <v>536</v>
      </c>
      <c r="R32" s="388" t="s">
        <v>546</v>
      </c>
      <c r="S32" s="387" t="s">
        <v>388</v>
      </c>
      <c r="T32" s="388" t="s">
        <v>546</v>
      </c>
      <c r="U32" s="387" t="s">
        <v>536</v>
      </c>
      <c r="V32" s="388" t="s">
        <v>546</v>
      </c>
      <c r="W32" s="387" t="s">
        <v>536</v>
      </c>
      <c r="X32" s="388" t="s">
        <v>546</v>
      </c>
      <c r="Y32" s="387" t="s">
        <v>536</v>
      </c>
      <c r="Z32" s="388" t="s">
        <v>546</v>
      </c>
      <c r="AA32" s="388" t="s">
        <v>549</v>
      </c>
      <c r="AB32" s="389"/>
      <c r="AC32" s="389"/>
      <c r="AD32" s="389"/>
      <c r="AE32" s="389"/>
      <c r="AF32" s="389"/>
      <c r="AG32" s="389"/>
      <c r="AH32" s="389"/>
      <c r="AI32" s="389"/>
      <c r="AJ32" s="389"/>
      <c r="AK32" s="389"/>
      <c r="AL32" s="389"/>
      <c r="AM32" s="389"/>
      <c r="AN32" s="389"/>
      <c r="AO32" s="390"/>
      <c r="BG32" s="15" t="s">
        <v>4576</v>
      </c>
      <c r="BH32" s="15">
        <v>3</v>
      </c>
      <c r="BI32" s="15">
        <v>4</v>
      </c>
      <c r="BJ32" s="15">
        <v>53</v>
      </c>
      <c r="BK32" s="15" cm="1">
        <f t="array" ref="BK32">_xlfn.IFS($AI$3&gt;=14,58,$AI$3&gt;=6,57,$AI$3&gt;=3,55,1,0)</f>
        <v>0</v>
      </c>
      <c r="BM32" s="16">
        <f>IFERROR(IF(BM31+1&gt;BQ2,IF(BM31+1&gt;BQ2,IF(BP3+BP31&gt;BQ3,"",BP3+BP31)),BM31+1),"")</f>
        <v>27</v>
      </c>
      <c r="BN32" s="16" t="str">
        <f>IFERROR(INDEX(B30:AO180,BM32,BN2),"")</f>
        <v/>
      </c>
      <c r="BO32" s="16" t="str">
        <f>IFERROR(INDEX(B30:AO180,BM32,BO2),"")</f>
        <v/>
      </c>
      <c r="BP32" s="16">
        <f>IFERROR(IF(BM31+1&gt;BQ2,BP31+1,0),"")</f>
        <v>0</v>
      </c>
      <c r="BS32" s="412" t="str">
        <f t="shared" si="1"/>
        <v/>
      </c>
      <c r="BT32" s="413" t="str" cm="1">
        <f t="array" ref="BT32">INDEX(BS:BS,SMALL(IF($BS$2:$BS$101&lt;&gt;"",ROW($BS$2:$BS$101),142),ROW(BS31)))&amp;""</f>
        <v/>
      </c>
      <c r="BU32" s="16" t="str">
        <f>IF(主要!AX41="","",主要!AX41)</f>
        <v/>
      </c>
      <c r="BV32" s="16" t="str">
        <f t="shared" si="2"/>
        <v/>
      </c>
    </row>
    <row r="33" spans="1:74" ht="16.5" customHeight="1" thickTop="1">
      <c r="A33" s="233">
        <v>4</v>
      </c>
      <c r="B33" s="391" t="s">
        <v>550</v>
      </c>
      <c r="C33" s="392" t="s">
        <v>5679</v>
      </c>
      <c r="D33" s="393" t="s">
        <v>551</v>
      </c>
      <c r="E33" s="392" t="s">
        <v>552</v>
      </c>
      <c r="F33" s="393" t="s">
        <v>551</v>
      </c>
      <c r="G33" s="392" t="s">
        <v>553</v>
      </c>
      <c r="H33" s="393" t="s">
        <v>554</v>
      </c>
      <c r="I33" s="392" t="s">
        <v>555</v>
      </c>
      <c r="J33" s="393" t="s">
        <v>556</v>
      </c>
      <c r="K33" s="392" t="s">
        <v>557</v>
      </c>
      <c r="L33" s="393" t="s">
        <v>558</v>
      </c>
      <c r="M33" s="392" t="s">
        <v>559</v>
      </c>
      <c r="N33" s="393" t="s">
        <v>560</v>
      </c>
      <c r="O33" s="392" t="s">
        <v>561</v>
      </c>
      <c r="P33" s="393" t="s">
        <v>562</v>
      </c>
      <c r="Q33" s="392" t="s">
        <v>563</v>
      </c>
      <c r="R33" s="393" t="s">
        <v>564</v>
      </c>
      <c r="S33" s="392" t="s">
        <v>565</v>
      </c>
      <c r="T33" s="393" t="s">
        <v>551</v>
      </c>
      <c r="U33" s="392" t="s">
        <v>566</v>
      </c>
      <c r="V33" s="393" t="s">
        <v>567</v>
      </c>
      <c r="W33" s="392" t="s">
        <v>568</v>
      </c>
      <c r="X33" s="393" t="s">
        <v>551</v>
      </c>
      <c r="Y33" s="392" t="s">
        <v>569</v>
      </c>
      <c r="Z33" s="393" t="s">
        <v>570</v>
      </c>
      <c r="AA33" s="393" t="s">
        <v>571</v>
      </c>
      <c r="AB33" s="389"/>
      <c r="AC33" s="389"/>
      <c r="AD33" s="389"/>
      <c r="AE33" s="389"/>
      <c r="AF33" s="389"/>
      <c r="AG33" s="389"/>
      <c r="AH33" s="389"/>
      <c r="AI33" s="389"/>
      <c r="AJ33" s="389"/>
      <c r="AK33" s="389"/>
      <c r="AL33" s="389"/>
      <c r="AM33" s="389"/>
      <c r="AN33" s="389"/>
      <c r="AO33" s="390"/>
      <c r="BG33" s="235" t="s">
        <v>3583</v>
      </c>
      <c r="BH33" s="235">
        <v>5</v>
      </c>
      <c r="BI33" s="235">
        <v>6</v>
      </c>
      <c r="BJ33" s="235">
        <v>20</v>
      </c>
      <c r="BK33" s="235" cm="1">
        <f t="array" ref="BK33">_xlfn.IFS($AI$4&gt;=17,25,$AI$4&gt;=8,24,$AI$4&gt;=6,23,$AI$4&gt;=2,22,$AI$4&gt;=1,21,1,0)</f>
        <v>0</v>
      </c>
      <c r="BM33" s="16">
        <f>IFERROR(IF(BM32+1&gt;BQ2,IF(BM32+1&gt;BQ2,IF(BP3+BP32&gt;BQ3,"",BP3+BP32)),BM32+1),"")</f>
        <v>28</v>
      </c>
      <c r="BN33" s="16" t="str">
        <f>IFERROR(INDEX(B30:AO180,BM33,BN2),"")</f>
        <v/>
      </c>
      <c r="BO33" s="16" t="str">
        <f>IFERROR(INDEX(B30:AO180,BM33,BO2),"")</f>
        <v/>
      </c>
      <c r="BP33" s="16">
        <f>IFERROR(IF(BM32+1&gt;BQ2,BP32+1,0),"")</f>
        <v>0</v>
      </c>
      <c r="BS33" s="412" t="str">
        <f t="shared" si="1"/>
        <v/>
      </c>
      <c r="BT33" s="413" t="str" cm="1">
        <f t="array" ref="BT33">INDEX(BS:BS,SMALL(IF($BS$2:$BS$101&lt;&gt;"",ROW($BS$2:$BS$101),142),ROW(BS32)))&amp;""</f>
        <v/>
      </c>
      <c r="BU33" s="16" t="str">
        <f>IF(主要!AX42="","",主要!AX42)</f>
        <v/>
      </c>
      <c r="BV33" s="16" t="str">
        <f t="shared" si="2"/>
        <v/>
      </c>
    </row>
    <row r="34" spans="1:74" ht="16.5" customHeight="1">
      <c r="A34" s="233">
        <v>5</v>
      </c>
      <c r="B34" s="391" t="s">
        <v>558</v>
      </c>
      <c r="C34" s="392" t="s">
        <v>5680</v>
      </c>
      <c r="D34" s="393" t="s">
        <v>135</v>
      </c>
      <c r="E34" s="392" t="s">
        <v>572</v>
      </c>
      <c r="F34" s="393" t="s">
        <v>135</v>
      </c>
      <c r="G34" s="392" t="s">
        <v>573</v>
      </c>
      <c r="H34" s="393" t="s">
        <v>551</v>
      </c>
      <c r="I34" s="392" t="s">
        <v>574</v>
      </c>
      <c r="J34" s="393" t="s">
        <v>3693</v>
      </c>
      <c r="K34" s="392" t="s">
        <v>3692</v>
      </c>
      <c r="L34" s="393" t="s">
        <v>577</v>
      </c>
      <c r="M34" s="392" t="s">
        <v>578</v>
      </c>
      <c r="N34" s="393" t="s">
        <v>579</v>
      </c>
      <c r="O34" s="392" t="s">
        <v>580</v>
      </c>
      <c r="P34" s="393" t="s">
        <v>3718</v>
      </c>
      <c r="Q34" s="392" t="s">
        <v>3719</v>
      </c>
      <c r="R34" s="393" t="s">
        <v>583</v>
      </c>
      <c r="S34" s="392" t="s">
        <v>584</v>
      </c>
      <c r="T34" s="393" t="s">
        <v>135</v>
      </c>
      <c r="U34" s="392" t="s">
        <v>585</v>
      </c>
      <c r="V34" s="393" t="s">
        <v>135</v>
      </c>
      <c r="W34" s="392" t="s">
        <v>5597</v>
      </c>
      <c r="X34" s="393" t="s">
        <v>135</v>
      </c>
      <c r="Y34" s="392" t="s">
        <v>586</v>
      </c>
      <c r="Z34" s="393" t="s">
        <v>587</v>
      </c>
      <c r="AA34" s="393" t="s">
        <v>588</v>
      </c>
      <c r="AB34" s="389"/>
      <c r="AC34" s="389"/>
      <c r="AD34" s="389"/>
      <c r="AE34" s="389"/>
      <c r="AF34" s="389"/>
      <c r="AG34" s="389"/>
      <c r="AH34" s="389"/>
      <c r="AI34" s="389"/>
      <c r="AJ34" s="389"/>
      <c r="AK34" s="389"/>
      <c r="AL34" s="389"/>
      <c r="AM34" s="389"/>
      <c r="AN34" s="389"/>
      <c r="AO34" s="390"/>
      <c r="BG34" s="15" t="s">
        <v>3585</v>
      </c>
      <c r="BH34" s="15">
        <v>5</v>
      </c>
      <c r="BI34" s="15">
        <v>6</v>
      </c>
      <c r="BJ34" s="15">
        <v>26</v>
      </c>
      <c r="BK34" s="15" cm="1">
        <f t="array" ref="BK34">_xlfn.IFS($AI$4&gt;=17,32,$AI$4&gt;=8,31,$AI$4&gt;=6,30,$AI$4&gt;=2,29,$AI$4&gt;=1,28,1,0)</f>
        <v>0</v>
      </c>
      <c r="BM34" s="16">
        <f>IFERROR(IF(BM33+1&gt;BQ2,IF(BM33+1&gt;BQ2,IF(BP3+BP33&gt;BQ3,"",BP3+BP33)),BM33+1),"")</f>
        <v>29</v>
      </c>
      <c r="BN34" s="16" t="str">
        <f>IFERROR(INDEX(B30:AO180,BM34,BN2),"")</f>
        <v/>
      </c>
      <c r="BO34" s="16" t="str">
        <f>IFERROR(INDEX(B30:AO180,BM34,BO2),"")</f>
        <v/>
      </c>
      <c r="BP34" s="16">
        <f>IFERROR(IF(BM33+1&gt;BQ2,BP33+1,0),"")</f>
        <v>0</v>
      </c>
      <c r="BS34" s="412" t="str">
        <f t="shared" si="1"/>
        <v/>
      </c>
      <c r="BT34" s="413" t="str" cm="1">
        <f t="array" ref="BT34">INDEX(BS:BS,SMALL(IF($BS$2:$BS$101&lt;&gt;"",ROW($BS$2:$BS$101),142),ROW(BS33)))&amp;""</f>
        <v/>
      </c>
      <c r="BU34" s="16" t="str">
        <f>IF(主要!AX43="","",主要!AX43)</f>
        <v/>
      </c>
      <c r="BV34" s="16" t="str">
        <f t="shared" si="2"/>
        <v/>
      </c>
    </row>
    <row r="35" spans="1:74" ht="16.5" customHeight="1">
      <c r="A35" s="233">
        <v>6</v>
      </c>
      <c r="B35" s="391" t="s">
        <v>589</v>
      </c>
      <c r="C35" s="392" t="s">
        <v>5681</v>
      </c>
      <c r="D35" s="393" t="s">
        <v>104</v>
      </c>
      <c r="E35" s="392" t="s">
        <v>590</v>
      </c>
      <c r="F35" s="393" t="s">
        <v>591</v>
      </c>
      <c r="G35" s="392" t="s">
        <v>592</v>
      </c>
      <c r="H35" s="393" t="s">
        <v>135</v>
      </c>
      <c r="I35" s="392" t="s">
        <v>593</v>
      </c>
      <c r="J35" s="393" t="s">
        <v>575</v>
      </c>
      <c r="K35" s="392" t="s">
        <v>576</v>
      </c>
      <c r="L35" s="393" t="s">
        <v>596</v>
      </c>
      <c r="M35" s="392" t="s">
        <v>597</v>
      </c>
      <c r="N35" s="393" t="s">
        <v>556</v>
      </c>
      <c r="O35" s="392" t="s">
        <v>598</v>
      </c>
      <c r="P35" s="393" t="s">
        <v>581</v>
      </c>
      <c r="Q35" s="392" t="s">
        <v>582</v>
      </c>
      <c r="R35" s="393" t="s">
        <v>600</v>
      </c>
      <c r="S35" s="392" t="s">
        <v>601</v>
      </c>
      <c r="T35" s="393" t="s">
        <v>104</v>
      </c>
      <c r="U35" s="392" t="s">
        <v>602</v>
      </c>
      <c r="V35" s="393" t="s">
        <v>104</v>
      </c>
      <c r="W35" s="392" t="s">
        <v>5598</v>
      </c>
      <c r="X35" s="393" t="s">
        <v>603</v>
      </c>
      <c r="Y35" s="392" t="s">
        <v>604</v>
      </c>
      <c r="Z35" s="393" t="s">
        <v>551</v>
      </c>
      <c r="AA35" s="393" t="s">
        <v>605</v>
      </c>
      <c r="AB35" s="389"/>
      <c r="AC35" s="389"/>
      <c r="AD35" s="389"/>
      <c r="AG35" s="389"/>
      <c r="AH35" s="389"/>
      <c r="AI35" s="389"/>
      <c r="AJ35" s="389"/>
      <c r="AK35" s="389"/>
      <c r="AN35" s="389"/>
      <c r="AO35" s="390"/>
      <c r="BG35" s="15" t="s">
        <v>3586</v>
      </c>
      <c r="BH35" s="15">
        <v>5</v>
      </c>
      <c r="BI35" s="15">
        <v>6</v>
      </c>
      <c r="BJ35" s="15">
        <v>33</v>
      </c>
      <c r="BK35" s="15" cm="1">
        <f t="array" ref="BK35">_xlfn.IFS($AI$4&gt;=17,39,$AI$4&gt;=8,38,$AI$4&gt;=6,37,$AI$4&gt;=2,36,$AI$4&gt;=1,35,1,0)</f>
        <v>0</v>
      </c>
      <c r="BM35" s="16">
        <f>IFERROR(IF(BM34+1&gt;BQ2,IF(BM34+1&gt;BQ2,IF(BP3+BP34&gt;BQ3,"",BP3+BP34)),BM34+1),"")</f>
        <v>30</v>
      </c>
      <c r="BN35" s="16" t="str">
        <f>IFERROR(INDEX(B30:AO180,BM35,BN2),"")</f>
        <v/>
      </c>
      <c r="BO35" s="16" t="str">
        <f>IFERROR(INDEX(B30:AO180,BM35,BO2),"")</f>
        <v/>
      </c>
      <c r="BP35" s="16">
        <f>IFERROR(IF(BM34+1&gt;BQ2,BP34+1,0),"")</f>
        <v>0</v>
      </c>
      <c r="BS35" s="412" t="str">
        <f t="shared" si="1"/>
        <v/>
      </c>
      <c r="BT35" s="413" t="str" cm="1">
        <f t="array" ref="BT35">INDEX(BS:BS,SMALL(IF($BS$2:$BS$101&lt;&gt;"",ROW($BS$2:$BS$101),142),ROW(BS34)))&amp;""</f>
        <v/>
      </c>
      <c r="BU35" s="16" t="str">
        <f>IF(主要!AX44="","",主要!AX44)</f>
        <v/>
      </c>
      <c r="BV35" s="16" t="str">
        <f t="shared" si="2"/>
        <v/>
      </c>
    </row>
    <row r="36" spans="1:74" ht="16.5" customHeight="1">
      <c r="A36" s="233">
        <v>7</v>
      </c>
      <c r="B36" s="391" t="s">
        <v>606</v>
      </c>
      <c r="C36" s="392" t="s">
        <v>5682</v>
      </c>
      <c r="D36" s="393" t="s">
        <v>607</v>
      </c>
      <c r="E36" s="392" t="s">
        <v>608</v>
      </c>
      <c r="F36" s="393" t="s">
        <v>609</v>
      </c>
      <c r="G36" s="392" t="s">
        <v>610</v>
      </c>
      <c r="H36" s="393" t="s">
        <v>611</v>
      </c>
      <c r="I36" s="392" t="s">
        <v>612</v>
      </c>
      <c r="J36" s="393" t="s">
        <v>594</v>
      </c>
      <c r="K36" s="392" t="s">
        <v>595</v>
      </c>
      <c r="L36" s="393" t="s">
        <v>615</v>
      </c>
      <c r="M36" s="392" t="s">
        <v>616</v>
      </c>
      <c r="N36" s="393" t="s">
        <v>3693</v>
      </c>
      <c r="O36" s="392" t="s">
        <v>3708</v>
      </c>
      <c r="P36" s="393" t="s">
        <v>3720</v>
      </c>
      <c r="Q36" s="392" t="s">
        <v>3721</v>
      </c>
      <c r="R36" s="393" t="s">
        <v>619</v>
      </c>
      <c r="S36" s="392" t="s">
        <v>620</v>
      </c>
      <c r="T36" s="393" t="s">
        <v>607</v>
      </c>
      <c r="U36" s="392" t="s">
        <v>621</v>
      </c>
      <c r="V36" s="393" t="s">
        <v>607</v>
      </c>
      <c r="W36" s="392" t="s">
        <v>5599</v>
      </c>
      <c r="X36" s="393" t="s">
        <v>456</v>
      </c>
      <c r="Y36" s="392" t="s">
        <v>622</v>
      </c>
      <c r="Z36" s="393" t="s">
        <v>623</v>
      </c>
      <c r="AA36" s="393" t="s">
        <v>624</v>
      </c>
      <c r="AB36" s="389"/>
      <c r="AC36" s="389"/>
      <c r="AH36" s="389"/>
      <c r="AK36" s="389"/>
      <c r="AN36" s="389"/>
      <c r="AO36" s="390"/>
      <c r="BG36" s="15" t="s">
        <v>3587</v>
      </c>
      <c r="BH36" s="15">
        <v>5</v>
      </c>
      <c r="BI36" s="15">
        <v>6</v>
      </c>
      <c r="BJ36" s="15">
        <v>40</v>
      </c>
      <c r="BK36" s="15" cm="1">
        <f t="array" ref="BK36">_xlfn.IFS($AI$4&gt;=17,46,$AI$4&gt;=8,45,$AI$4&gt;=6,44,$AI$4&gt;=2,43,$AI$4&gt;=1,42,1,0)</f>
        <v>0</v>
      </c>
      <c r="BM36" s="16">
        <f>IFERROR(IF(BM35+1&gt;BQ2,IF(BM35+1&gt;BQ2,IF(BP3+BP35&gt;BQ3,"",BP3+BP35)),BM35+1),"")</f>
        <v>31</v>
      </c>
      <c r="BN36" s="16" t="str">
        <f>IFERROR(INDEX(B30:AO180,BM36,BN2),"")</f>
        <v/>
      </c>
      <c r="BO36" s="16" t="str">
        <f>IFERROR(INDEX(B30:AO180,BM36,BO2),"")</f>
        <v/>
      </c>
      <c r="BP36" s="16">
        <f>IFERROR(IF(BM35+1&gt;BQ2,BP35+1,0),"")</f>
        <v>0</v>
      </c>
      <c r="BS36" s="412" t="str">
        <f t="shared" si="1"/>
        <v/>
      </c>
      <c r="BT36" s="413" t="str" cm="1">
        <f t="array" ref="BT36">INDEX(BS:BS,SMALL(IF($BS$2:$BS$101&lt;&gt;"",ROW($BS$2:$BS$101),142),ROW(BS35)))&amp;""</f>
        <v/>
      </c>
      <c r="BU36" s="16" t="str">
        <f>IF(主要!AX45="","",主要!AX45)</f>
        <v/>
      </c>
      <c r="BV36" s="16" t="str">
        <f t="shared" si="2"/>
        <v/>
      </c>
    </row>
    <row r="37" spans="1:74" ht="16.5" customHeight="1">
      <c r="A37" s="233">
        <v>8</v>
      </c>
      <c r="B37" s="391" t="s">
        <v>625</v>
      </c>
      <c r="C37" s="392" t="s">
        <v>626</v>
      </c>
      <c r="D37" s="393" t="s">
        <v>609</v>
      </c>
      <c r="E37" s="392" t="s">
        <v>627</v>
      </c>
      <c r="F37" s="393" t="s">
        <v>628</v>
      </c>
      <c r="G37" s="392" t="s">
        <v>629</v>
      </c>
      <c r="H37" s="393" t="s">
        <v>630</v>
      </c>
      <c r="I37" s="392" t="s">
        <v>631</v>
      </c>
      <c r="J37" s="393" t="s">
        <v>613</v>
      </c>
      <c r="K37" s="392" t="s">
        <v>614</v>
      </c>
      <c r="L37" s="393" t="s">
        <v>634</v>
      </c>
      <c r="M37" s="392" t="s">
        <v>635</v>
      </c>
      <c r="N37" s="393" t="s">
        <v>551</v>
      </c>
      <c r="O37" s="392" t="s">
        <v>617</v>
      </c>
      <c r="P37" s="393" t="s">
        <v>556</v>
      </c>
      <c r="Q37" s="392" t="s">
        <v>599</v>
      </c>
      <c r="R37" s="393" t="s">
        <v>638</v>
      </c>
      <c r="S37" s="392" t="s">
        <v>639</v>
      </c>
      <c r="T37" s="393" t="s">
        <v>609</v>
      </c>
      <c r="U37" s="392" t="s">
        <v>640</v>
      </c>
      <c r="V37" s="393" t="s">
        <v>609</v>
      </c>
      <c r="W37" s="392" t="s">
        <v>5600</v>
      </c>
      <c r="X37" s="393" t="s">
        <v>611</v>
      </c>
      <c r="Y37" s="392" t="s">
        <v>641</v>
      </c>
      <c r="Z37" s="393" t="s">
        <v>135</v>
      </c>
      <c r="AA37" s="393" t="s">
        <v>642</v>
      </c>
      <c r="AB37" s="389"/>
      <c r="AC37" s="389"/>
      <c r="AG37" s="389"/>
      <c r="AH37" s="389"/>
      <c r="AK37" s="389"/>
      <c r="AN37" s="389"/>
      <c r="AO37" s="390"/>
      <c r="BG37" s="15" t="s">
        <v>3588</v>
      </c>
      <c r="BH37" s="15">
        <v>5</v>
      </c>
      <c r="BI37" s="15">
        <v>6</v>
      </c>
      <c r="BJ37" s="15">
        <v>47</v>
      </c>
      <c r="BK37" s="15" cm="1">
        <f t="array" ref="BK37">_xlfn.IFS($AI$4&gt;=17,53,$AI$4&gt;=8,52,$AI$4&gt;=6,51,$AI$4&gt;=2,50,$AI$4&gt;=1,49,1,0)</f>
        <v>0</v>
      </c>
      <c r="BM37" s="16">
        <f>IFERROR(IF(BM36+1&gt;BQ2,IF(BM36+1&gt;BQ2,IF(BP3+BP36&gt;BQ3,"",BP3+BP36)),BM36+1),"")</f>
        <v>32</v>
      </c>
      <c r="BN37" s="16" t="str">
        <f>IFERROR(INDEX(B30:AO180,BM37,BN2),"")</f>
        <v/>
      </c>
      <c r="BO37" s="16" t="str">
        <f>IFERROR(INDEX(B30:AO180,BM37,BO2),"")</f>
        <v/>
      </c>
      <c r="BP37" s="16">
        <f>IFERROR(IF(BM36+1&gt;BQ2,BP36+1,0),"")</f>
        <v>0</v>
      </c>
      <c r="BS37" s="412" t="str">
        <f t="shared" si="1"/>
        <v/>
      </c>
      <c r="BT37" s="413" t="str" cm="1">
        <f t="array" ref="BT37">INDEX(BS:BS,SMALL(IF($BS$2:$BS$101&lt;&gt;"",ROW($BS$2:$BS$101),142),ROW(BS36)))&amp;""</f>
        <v/>
      </c>
      <c r="BU37" s="16" t="str">
        <f>IF(主要!AX46="","",主要!AX46)</f>
        <v/>
      </c>
      <c r="BV37" s="16" t="str">
        <f t="shared" si="2"/>
        <v/>
      </c>
    </row>
    <row r="38" spans="1:74" ht="16.5" customHeight="1">
      <c r="A38" s="233">
        <v>9</v>
      </c>
      <c r="B38" s="391" t="s">
        <v>3632</v>
      </c>
      <c r="C38" s="392" t="s">
        <v>3633</v>
      </c>
      <c r="D38" s="393" t="s">
        <v>628</v>
      </c>
      <c r="E38" s="392" t="s">
        <v>644</v>
      </c>
      <c r="F38" s="393" t="s">
        <v>496</v>
      </c>
      <c r="G38" s="392" t="s">
        <v>645</v>
      </c>
      <c r="H38" s="393" t="s">
        <v>609</v>
      </c>
      <c r="I38" s="392" t="s">
        <v>646</v>
      </c>
      <c r="J38" s="393" t="s">
        <v>3690</v>
      </c>
      <c r="K38" s="392" t="s">
        <v>3691</v>
      </c>
      <c r="L38" s="393" t="s">
        <v>649</v>
      </c>
      <c r="M38" s="392" t="s">
        <v>650</v>
      </c>
      <c r="N38" s="393" t="s">
        <v>591</v>
      </c>
      <c r="O38" s="392" t="s">
        <v>636</v>
      </c>
      <c r="P38" s="393" t="s">
        <v>3693</v>
      </c>
      <c r="Q38" s="392" t="s">
        <v>3717</v>
      </c>
      <c r="R38" s="393" t="s">
        <v>3726</v>
      </c>
      <c r="S38" s="392" t="s">
        <v>3727</v>
      </c>
      <c r="T38" s="393" t="s">
        <v>496</v>
      </c>
      <c r="U38" s="392" t="s">
        <v>654</v>
      </c>
      <c r="V38" s="393" t="s">
        <v>496</v>
      </c>
      <c r="W38" s="392" t="s">
        <v>5601</v>
      </c>
      <c r="X38" s="393" t="s">
        <v>609</v>
      </c>
      <c r="Y38" s="392" t="s">
        <v>655</v>
      </c>
      <c r="Z38" s="393" t="s">
        <v>611</v>
      </c>
      <c r="AA38" s="393" t="s">
        <v>656</v>
      </c>
      <c r="AB38" s="389"/>
      <c r="AC38" s="389"/>
      <c r="AG38" s="389"/>
      <c r="AH38" s="389"/>
      <c r="AK38" s="389"/>
      <c r="AN38" s="389"/>
      <c r="AO38" s="390"/>
      <c r="BG38" s="15" t="s">
        <v>3589</v>
      </c>
      <c r="BH38" s="15">
        <v>5</v>
      </c>
      <c r="BI38" s="15">
        <v>6</v>
      </c>
      <c r="BJ38" s="15">
        <v>54</v>
      </c>
      <c r="BK38" s="15" cm="1">
        <f t="array" ref="BK38">_xlfn.IFS($AI$4&gt;=17,59,$AI$4&gt;=8,58,$AI$4&gt;=6,57,$AI$4&gt;=2,56,$AI$4&gt;=1,55,1,0)</f>
        <v>0</v>
      </c>
      <c r="BM38" s="16">
        <f>IFERROR(IF(BM37+1&gt;BQ2,IF(BM37+1&gt;BQ2,IF(BP3+BP37&gt;BQ3,"",BP3+BP37)),BM37+1),"")</f>
        <v>33</v>
      </c>
      <c r="BN38" s="16" t="str">
        <f>IFERROR(INDEX(B30:AO180,BM38,BN2),"")</f>
        <v/>
      </c>
      <c r="BO38" s="16" t="str">
        <f>IFERROR(INDEX(B30:AO180,BM38,BO2),"")</f>
        <v/>
      </c>
      <c r="BP38" s="16">
        <f>IFERROR(IF(BM37+1&gt;BQ2,BP37+1,0),"")</f>
        <v>0</v>
      </c>
      <c r="BS38" s="412" t="str">
        <f t="shared" si="1"/>
        <v/>
      </c>
      <c r="BT38" s="413" t="str" cm="1">
        <f t="array" ref="BT38">INDEX(BS:BS,SMALL(IF($BS$2:$BS$101&lt;&gt;"",ROW($BS$2:$BS$101),142),ROW(BS37)))&amp;""</f>
        <v/>
      </c>
      <c r="BU38" s="16" t="str">
        <f>IF(主要!AX47="","",主要!AX47)</f>
        <v/>
      </c>
      <c r="BV38" s="16" t="str">
        <f t="shared" si="2"/>
        <v/>
      </c>
    </row>
    <row r="39" spans="1:74" ht="16.5" customHeight="1">
      <c r="A39" s="233">
        <v>10</v>
      </c>
      <c r="B39" s="391" t="s">
        <v>632</v>
      </c>
      <c r="C39" s="392" t="s">
        <v>643</v>
      </c>
      <c r="D39" s="393" t="s">
        <v>496</v>
      </c>
      <c r="E39" s="392" t="s">
        <v>658</v>
      </c>
      <c r="F39" s="393" t="s">
        <v>659</v>
      </c>
      <c r="G39" s="392" t="s">
        <v>660</v>
      </c>
      <c r="H39" s="393" t="s">
        <v>628</v>
      </c>
      <c r="I39" s="392" t="s">
        <v>661</v>
      </c>
      <c r="J39" s="393" t="s">
        <v>632</v>
      </c>
      <c r="K39" s="392" t="s">
        <v>633</v>
      </c>
      <c r="L39" s="393" t="s">
        <v>664</v>
      </c>
      <c r="M39" s="392" t="s">
        <v>665</v>
      </c>
      <c r="N39" s="393" t="s">
        <v>609</v>
      </c>
      <c r="O39" s="392" t="s">
        <v>651</v>
      </c>
      <c r="P39" s="393" t="s">
        <v>551</v>
      </c>
      <c r="Q39" s="392" t="s">
        <v>618</v>
      </c>
      <c r="R39" s="393" t="s">
        <v>632</v>
      </c>
      <c r="S39" s="392" t="s">
        <v>653</v>
      </c>
      <c r="T39" s="393" t="s">
        <v>671</v>
      </c>
      <c r="U39" s="392" t="s">
        <v>672</v>
      </c>
      <c r="V39" s="393" t="s">
        <v>673</v>
      </c>
      <c r="W39" s="392" t="s">
        <v>5602</v>
      </c>
      <c r="X39" s="393" t="s">
        <v>628</v>
      </c>
      <c r="Y39" s="392" t="s">
        <v>674</v>
      </c>
      <c r="Z39" s="393" t="s">
        <v>609</v>
      </c>
      <c r="AA39" s="393" t="s">
        <v>675</v>
      </c>
      <c r="AB39" s="389"/>
      <c r="AC39" s="389"/>
      <c r="AG39" s="389"/>
      <c r="AH39" s="389"/>
      <c r="AK39" s="389"/>
      <c r="AN39" s="389"/>
      <c r="AO39" s="390"/>
      <c r="BG39" s="15" t="s">
        <v>3590</v>
      </c>
      <c r="BH39" s="15">
        <v>5</v>
      </c>
      <c r="BI39" s="15">
        <v>6</v>
      </c>
      <c r="BJ39" s="15">
        <v>60</v>
      </c>
      <c r="BK39" s="15" cm="1">
        <f t="array" ref="BK39">_xlfn.IFS($AI$4&gt;=17,66,$AI$4&gt;=8,65,$AI$4&gt;=6,64,$AI$4&gt;=2,63,$AI$4&gt;=1,62,1,0)</f>
        <v>0</v>
      </c>
      <c r="BM39" s="16">
        <f>IFERROR(IF(BM38+1&gt;BQ2,IF(BM38+1&gt;BQ2,IF(BP3+BP38&gt;BQ3,"",BP3+BP38)),BM38+1),"")</f>
        <v>34</v>
      </c>
      <c r="BN39" s="16" t="str">
        <f>IFERROR(INDEX(B30:AO180,BM39,BN2),"")</f>
        <v/>
      </c>
      <c r="BO39" s="16" t="str">
        <f>IFERROR(INDEX(B30:AO180,BM39,BO2),"")</f>
        <v/>
      </c>
      <c r="BP39" s="16">
        <f>IFERROR(IF(BM38+1&gt;BQ2,BP38+1,0),"")</f>
        <v>0</v>
      </c>
      <c r="BS39" s="412" t="str">
        <f t="shared" si="1"/>
        <v/>
      </c>
      <c r="BT39" s="413" t="str" cm="1">
        <f t="array" ref="BT39">INDEX(BS:BS,SMALL(IF($BS$2:$BS$101&lt;&gt;"",ROW($BS$2:$BS$101),142),ROW(BS38)))&amp;""</f>
        <v/>
      </c>
      <c r="BU39" s="16" t="str">
        <f>IF(主要!AX48="","",主要!AX48)</f>
        <v/>
      </c>
      <c r="BV39" s="16" t="str">
        <f t="shared" si="2"/>
        <v/>
      </c>
    </row>
    <row r="40" spans="1:74" ht="16.5" customHeight="1">
      <c r="A40" s="233">
        <v>11</v>
      </c>
      <c r="B40" s="391" t="s">
        <v>647</v>
      </c>
      <c r="C40" s="392" t="s">
        <v>657</v>
      </c>
      <c r="D40" s="393" t="s">
        <v>678</v>
      </c>
      <c r="E40" s="392" t="s">
        <v>5728</v>
      </c>
      <c r="F40" s="393" t="s">
        <v>679</v>
      </c>
      <c r="G40" s="392" t="s">
        <v>680</v>
      </c>
      <c r="H40" s="393" t="s">
        <v>496</v>
      </c>
      <c r="I40" s="392" t="s">
        <v>681</v>
      </c>
      <c r="J40" s="393" t="s">
        <v>647</v>
      </c>
      <c r="K40" s="392" t="s">
        <v>648</v>
      </c>
      <c r="L40" s="393" t="s">
        <v>3702</v>
      </c>
      <c r="M40" s="392" t="s">
        <v>3703</v>
      </c>
      <c r="N40" s="393" t="s">
        <v>496</v>
      </c>
      <c r="O40" s="392" t="s">
        <v>666</v>
      </c>
      <c r="P40" s="393" t="s">
        <v>3715</v>
      </c>
      <c r="Q40" s="392" t="s">
        <v>3716</v>
      </c>
      <c r="R40" s="393" t="s">
        <v>669</v>
      </c>
      <c r="S40" s="392" t="s">
        <v>670</v>
      </c>
      <c r="T40" s="393" t="s">
        <v>692</v>
      </c>
      <c r="U40" s="392" t="s">
        <v>693</v>
      </c>
      <c r="V40" s="388" t="s">
        <v>3637</v>
      </c>
      <c r="W40" s="387" t="s">
        <v>5839</v>
      </c>
      <c r="X40" s="393" t="s">
        <v>496</v>
      </c>
      <c r="Y40" s="392" t="s">
        <v>696</v>
      </c>
      <c r="Z40" s="393" t="s">
        <v>628</v>
      </c>
      <c r="AA40" s="393" t="s">
        <v>697</v>
      </c>
      <c r="AB40" s="389"/>
      <c r="AC40" s="389"/>
      <c r="AF40" s="389"/>
      <c r="AG40" s="389"/>
      <c r="AH40" s="389"/>
      <c r="AK40" s="389"/>
      <c r="AN40" s="389"/>
      <c r="AO40" s="390"/>
      <c r="BG40" s="15" t="s">
        <v>3591</v>
      </c>
      <c r="BH40" s="15">
        <v>5</v>
      </c>
      <c r="BI40" s="15">
        <v>6</v>
      </c>
      <c r="BJ40" s="15">
        <v>67</v>
      </c>
      <c r="BK40" s="15" cm="1">
        <f t="array" ref="BK40">_xlfn.IFS($AI$4&gt;=17,73,$AI$4&gt;=8,72,$AI$4&gt;=6,71,$AI$4&gt;=2,70,$AI$4&gt;=1,69,1,0)</f>
        <v>0</v>
      </c>
      <c r="BM40" s="16">
        <f>IFERROR(IF(BM39+1&gt;BQ2,IF(BM39+1&gt;BQ2,IF(BP3+BP39&gt;BQ3,"",BP3+BP39)),BM39+1),"")</f>
        <v>35</v>
      </c>
      <c r="BN40" s="16" t="str">
        <f>IFERROR(INDEX(B30:AO180,BM40,BN2),"")</f>
        <v/>
      </c>
      <c r="BO40" s="16" t="str">
        <f>IFERROR(INDEX(B30:AO180,BM40,BO2),"")</f>
        <v/>
      </c>
      <c r="BP40" s="16">
        <f>IFERROR(IF(BM39+1&gt;BQ2,BP39+1,0),"")</f>
        <v>0</v>
      </c>
      <c r="BS40" s="412" t="str">
        <f t="shared" si="1"/>
        <v/>
      </c>
      <c r="BT40" s="413" t="str" cm="1">
        <f t="array" ref="BT40">INDEX(BS:BS,SMALL(IF($BS$2:$BS$101&lt;&gt;"",ROW($BS$2:$BS$101),142),ROW(BS39)))&amp;""</f>
        <v/>
      </c>
      <c r="BU40" s="16" t="str">
        <f>IF(主要!AX49="","",主要!AX49)</f>
        <v/>
      </c>
      <c r="BV40" s="16" t="str">
        <f t="shared" si="2"/>
        <v/>
      </c>
    </row>
    <row r="41" spans="1:74" ht="16.5" customHeight="1">
      <c r="A41" s="233">
        <v>12</v>
      </c>
      <c r="B41" s="391" t="s">
        <v>676</v>
      </c>
      <c r="C41" s="392" t="s">
        <v>677</v>
      </c>
      <c r="D41" s="393" t="s">
        <v>699</v>
      </c>
      <c r="E41" s="392" t="s">
        <v>700</v>
      </c>
      <c r="F41" s="393" t="s">
        <v>701</v>
      </c>
      <c r="G41" s="392" t="s">
        <v>702</v>
      </c>
      <c r="H41" s="393" t="s">
        <v>703</v>
      </c>
      <c r="I41" s="392" t="s">
        <v>704</v>
      </c>
      <c r="J41" s="393" t="s">
        <v>662</v>
      </c>
      <c r="K41" s="392" t="s">
        <v>663</v>
      </c>
      <c r="L41" s="393" t="s">
        <v>684</v>
      </c>
      <c r="M41" s="392" t="s">
        <v>685</v>
      </c>
      <c r="N41" s="393" t="s">
        <v>686</v>
      </c>
      <c r="O41" s="392" t="s">
        <v>687</v>
      </c>
      <c r="P41" s="393" t="s">
        <v>104</v>
      </c>
      <c r="Q41" s="392" t="s">
        <v>637</v>
      </c>
      <c r="R41" s="393" t="s">
        <v>690</v>
      </c>
      <c r="S41" s="392" t="s">
        <v>691</v>
      </c>
      <c r="T41" s="393" t="s">
        <v>713</v>
      </c>
      <c r="U41" s="392" t="s">
        <v>714</v>
      </c>
      <c r="V41" s="388" t="s">
        <v>3638</v>
      </c>
      <c r="W41" s="387" t="s">
        <v>5840</v>
      </c>
      <c r="X41" s="393" t="s">
        <v>717</v>
      </c>
      <c r="Y41" s="392" t="s">
        <v>718</v>
      </c>
      <c r="Z41" s="393" t="s">
        <v>719</v>
      </c>
      <c r="AA41" s="393" t="s">
        <v>720</v>
      </c>
      <c r="AB41" s="389"/>
      <c r="AC41" s="389"/>
      <c r="AH41" s="389"/>
      <c r="AK41" s="389"/>
      <c r="AN41" s="389"/>
      <c r="AO41" s="390"/>
      <c r="BG41" s="15" t="s">
        <v>3592</v>
      </c>
      <c r="BH41" s="15">
        <v>5</v>
      </c>
      <c r="BI41" s="15">
        <v>6</v>
      </c>
      <c r="BJ41" s="15">
        <v>74</v>
      </c>
      <c r="BK41" s="15" cm="1">
        <f t="array" ref="BK41">_xlfn.IFS($AI$4&gt;=17,80,$AI$4&gt;=8,79,$AI$4&gt;=6,78,$AI$4&gt;=2,77,$AI$4&gt;=1,76,1,0)</f>
        <v>0</v>
      </c>
      <c r="BM41" s="16">
        <f>IFERROR(IF(BM40+1&gt;BQ2,IF(BM40+1&gt;BQ2,IF(BP3+BP40&gt;BQ3,"",BP3+BP40)),BM40+1),"")</f>
        <v>36</v>
      </c>
      <c r="BN41" s="16" t="str">
        <f>IFERROR(INDEX(B30:AO180,BM41,BN2),"")</f>
        <v/>
      </c>
      <c r="BO41" s="16" t="str">
        <f>IFERROR(INDEX(B30:AO180,BM41,BO2),"")</f>
        <v/>
      </c>
      <c r="BP41" s="16">
        <f>IFERROR(IF(BM40+1&gt;BQ2,BP40+1,0),"")</f>
        <v>0</v>
      </c>
      <c r="BS41" s="412" t="str">
        <f t="shared" si="1"/>
        <v/>
      </c>
      <c r="BT41" s="413" t="str" cm="1">
        <f t="array" ref="BT41">INDEX(BS:BS,SMALL(IF($BS$2:$BS$101&lt;&gt;"",ROW($BS$2:$BS$101),142),ROW(BS40)))&amp;""</f>
        <v/>
      </c>
      <c r="BU41" s="16" t="str">
        <f>IF(主要!AX50="","",主要!AX50)</f>
        <v/>
      </c>
      <c r="BV41" s="16" t="str">
        <f t="shared" si="2"/>
        <v/>
      </c>
    </row>
    <row r="42" spans="1:74" ht="16.5" customHeight="1">
      <c r="A42" s="233">
        <v>13</v>
      </c>
      <c r="B42" s="391" t="s">
        <v>698</v>
      </c>
      <c r="C42" s="392" t="s">
        <v>5683</v>
      </c>
      <c r="D42" s="393" t="s">
        <v>723</v>
      </c>
      <c r="E42" s="392" t="s">
        <v>5729</v>
      </c>
      <c r="F42" s="393" t="s">
        <v>724</v>
      </c>
      <c r="G42" s="392" t="s">
        <v>725</v>
      </c>
      <c r="H42" s="393" t="s">
        <v>726</v>
      </c>
      <c r="I42" s="392" t="s">
        <v>727</v>
      </c>
      <c r="J42" s="394" t="s">
        <v>682</v>
      </c>
      <c r="K42" s="395" t="s">
        <v>683</v>
      </c>
      <c r="L42" s="393" t="s">
        <v>706</v>
      </c>
      <c r="M42" s="392" t="s">
        <v>707</v>
      </c>
      <c r="N42" s="393" t="s">
        <v>708</v>
      </c>
      <c r="O42" s="392" t="s">
        <v>709</v>
      </c>
      <c r="P42" s="393" t="s">
        <v>607</v>
      </c>
      <c r="Q42" s="392" t="s">
        <v>652</v>
      </c>
      <c r="R42" s="393" t="s">
        <v>711</v>
      </c>
      <c r="S42" s="392" t="s">
        <v>712</v>
      </c>
      <c r="T42" s="393" t="s">
        <v>735</v>
      </c>
      <c r="U42" s="392" t="s">
        <v>736</v>
      </c>
      <c r="V42" s="388" t="s">
        <v>3640</v>
      </c>
      <c r="W42" s="387" t="s">
        <v>5842</v>
      </c>
      <c r="X42" s="393" t="s">
        <v>739</v>
      </c>
      <c r="Y42" s="392" t="s">
        <v>740</v>
      </c>
      <c r="Z42" s="393" t="s">
        <v>741</v>
      </c>
      <c r="AA42" s="393" t="s">
        <v>742</v>
      </c>
      <c r="AH42" s="389"/>
      <c r="AI42" s="389"/>
      <c r="AJ42" s="389"/>
      <c r="AK42" s="389"/>
      <c r="AL42" s="389"/>
      <c r="AM42" s="389"/>
      <c r="AN42" s="389"/>
      <c r="AO42" s="390"/>
      <c r="BG42" s="15" t="s">
        <v>3593</v>
      </c>
      <c r="BH42" s="15">
        <v>5</v>
      </c>
      <c r="BI42" s="15">
        <v>6</v>
      </c>
      <c r="BJ42" s="15">
        <v>81</v>
      </c>
      <c r="BK42" s="15" cm="1">
        <f t="array" ref="BK42">_xlfn.IFS($AI$4&gt;=17,86,$AI$4&gt;=8,85,$AI$4&gt;=6,84,$AI$4&gt;=2,83,$AI$4&gt;=1,82,1,0)</f>
        <v>0</v>
      </c>
      <c r="BM42" s="16">
        <f>IFERROR(IF(BM41+1&gt;BQ2,IF(BM41+1&gt;BQ2,IF(BP3+BP41&gt;BQ3,"",BP3+BP41)),BM41+1),"")</f>
        <v>37</v>
      </c>
      <c r="BN42" s="16" t="str">
        <f>IFERROR(INDEX(B30:AO180,BM42,BN2),"")</f>
        <v/>
      </c>
      <c r="BO42" s="16" t="str">
        <f>IFERROR(INDEX(B30:AO180,BM42,BO2),"")</f>
        <v/>
      </c>
      <c r="BP42" s="16">
        <f>IFERROR(IF(BM41+1&gt;BQ2,BP41+1,0),"")</f>
        <v>0</v>
      </c>
      <c r="BS42" s="412" t="str">
        <f t="shared" si="1"/>
        <v/>
      </c>
      <c r="BT42" s="413" t="str" cm="1">
        <f t="array" ref="BT42">INDEX(BS:BS,SMALL(IF($BS$2:$BS$101&lt;&gt;"",ROW($BS$2:$BS$101),142),ROW(BS41)))&amp;""</f>
        <v/>
      </c>
      <c r="BU42" s="16" t="str">
        <f>IF(主要!AX51="","",主要!AX51)</f>
        <v/>
      </c>
      <c r="BV42" s="16" t="str">
        <f t="shared" si="2"/>
        <v/>
      </c>
    </row>
    <row r="43" spans="1:74" ht="16.5" customHeight="1">
      <c r="A43" s="233">
        <v>14</v>
      </c>
      <c r="B43" s="391" t="s">
        <v>3631</v>
      </c>
      <c r="C43" s="392" t="s">
        <v>5684</v>
      </c>
      <c r="D43" s="393" t="s">
        <v>744</v>
      </c>
      <c r="E43" s="392" t="s">
        <v>745</v>
      </c>
      <c r="F43" s="393" t="s">
        <v>3681</v>
      </c>
      <c r="G43" s="392" t="s">
        <v>5767</v>
      </c>
      <c r="H43" s="393" t="s">
        <v>3685</v>
      </c>
      <c r="I43" s="392" t="s">
        <v>3686</v>
      </c>
      <c r="J43" s="394" t="s">
        <v>352</v>
      </c>
      <c r="K43" s="395" t="s">
        <v>705</v>
      </c>
      <c r="L43" s="393" t="s">
        <v>3700</v>
      </c>
      <c r="M43" s="392" t="s">
        <v>3701</v>
      </c>
      <c r="N43" s="393" t="s">
        <v>731</v>
      </c>
      <c r="O43" s="392" t="s">
        <v>732</v>
      </c>
      <c r="P43" s="393" t="s">
        <v>667</v>
      </c>
      <c r="Q43" s="392" t="s">
        <v>668</v>
      </c>
      <c r="R43" s="393" t="s">
        <v>733</v>
      </c>
      <c r="S43" s="392" t="s">
        <v>734</v>
      </c>
      <c r="T43" s="393" t="s">
        <v>757</v>
      </c>
      <c r="U43" s="392" t="s">
        <v>758</v>
      </c>
      <c r="V43" s="388" t="s">
        <v>3641</v>
      </c>
      <c r="W43" s="387" t="s">
        <v>5843</v>
      </c>
      <c r="X43" s="393" t="s">
        <v>760</v>
      </c>
      <c r="Y43" s="392" t="s">
        <v>761</v>
      </c>
      <c r="Z43" s="393" t="s">
        <v>762</v>
      </c>
      <c r="AA43" s="393" t="s">
        <v>763</v>
      </c>
      <c r="AD43" s="389"/>
      <c r="AE43" s="389"/>
      <c r="AH43" s="389"/>
      <c r="AI43" s="389"/>
      <c r="AJ43" s="389"/>
      <c r="AK43" s="389"/>
      <c r="AN43" s="389"/>
      <c r="AO43" s="390"/>
      <c r="BG43" s="15" t="s">
        <v>3594</v>
      </c>
      <c r="BH43" s="15">
        <v>5</v>
      </c>
      <c r="BI43" s="15">
        <v>6</v>
      </c>
      <c r="BJ43" s="15">
        <v>87</v>
      </c>
      <c r="BK43" s="15" cm="1">
        <f t="array" ref="BK43">_xlfn.IFS($AI$4&gt;=17,93,$AI$4&gt;=8,92,$AI$4&gt;=6,91,$AI$4&gt;=2,90,$AI$4&gt;=1,89,1,0)</f>
        <v>0</v>
      </c>
      <c r="BM43" s="16">
        <f>IFERROR(IF(BM42+1&gt;BQ2,IF(BM42+1&gt;BQ2,IF(BP3+BP42&gt;BQ3,"",BP3+BP42)),BM42+1),"")</f>
        <v>38</v>
      </c>
      <c r="BN43" s="16" t="str">
        <f>IFERROR(INDEX(B30:AO180,BM43,BN2),"")</f>
        <v/>
      </c>
      <c r="BO43" s="16" t="str">
        <f>IFERROR(INDEX(B30:AO180,BM43,BO2),"")</f>
        <v/>
      </c>
      <c r="BP43" s="16">
        <f>IFERROR(IF(BM42+1&gt;BQ2,BP42+1,0),"")</f>
        <v>0</v>
      </c>
      <c r="BS43" s="412" t="str">
        <f t="shared" si="1"/>
        <v/>
      </c>
      <c r="BT43" s="413" t="str" cm="1">
        <f t="array" ref="BT43">INDEX(BS:BS,SMALL(IF($BS$2:$BS$101&lt;&gt;"",ROW($BS$2:$BS$101),142),ROW(BS42)))&amp;""</f>
        <v/>
      </c>
      <c r="BU43" s="16" t="str">
        <f>IF(主要!AX52="","",主要!AX52)</f>
        <v/>
      </c>
      <c r="BV43" s="16" t="str">
        <f t="shared" si="2"/>
        <v/>
      </c>
    </row>
    <row r="44" spans="1:74" ht="16.5" customHeight="1">
      <c r="A44" s="233">
        <v>15</v>
      </c>
      <c r="B44" s="391" t="s">
        <v>721</v>
      </c>
      <c r="C44" s="392" t="s">
        <v>722</v>
      </c>
      <c r="D44" s="393" t="s">
        <v>564</v>
      </c>
      <c r="E44" s="392" t="s">
        <v>5730</v>
      </c>
      <c r="F44" s="393" t="s">
        <v>3679</v>
      </c>
      <c r="G44" s="392" t="s">
        <v>3680</v>
      </c>
      <c r="H44" s="393" t="s">
        <v>3683</v>
      </c>
      <c r="I44" s="392" t="s">
        <v>3684</v>
      </c>
      <c r="J44" s="394" t="s">
        <v>728</v>
      </c>
      <c r="K44" s="395" t="s">
        <v>729</v>
      </c>
      <c r="L44" s="393" t="s">
        <v>632</v>
      </c>
      <c r="M44" s="392" t="s">
        <v>730</v>
      </c>
      <c r="N44" s="393" t="s">
        <v>751</v>
      </c>
      <c r="O44" s="392" t="s">
        <v>752</v>
      </c>
      <c r="P44" s="393" t="s">
        <v>688</v>
      </c>
      <c r="Q44" s="392" t="s">
        <v>689</v>
      </c>
      <c r="R44" s="393" t="s">
        <v>755</v>
      </c>
      <c r="S44" s="392" t="s">
        <v>756</v>
      </c>
      <c r="T44" s="393" t="s">
        <v>775</v>
      </c>
      <c r="U44" s="392" t="s">
        <v>776</v>
      </c>
      <c r="V44" s="388" t="s">
        <v>3645</v>
      </c>
      <c r="W44" s="387" t="s">
        <v>5847</v>
      </c>
      <c r="X44" s="393" t="s">
        <v>3694</v>
      </c>
      <c r="Y44" s="392" t="s">
        <v>3695</v>
      </c>
      <c r="Z44" s="394" t="s">
        <v>971</v>
      </c>
      <c r="AA44" s="394" t="s">
        <v>5906</v>
      </c>
      <c r="AD44" s="389"/>
      <c r="AE44" s="389"/>
      <c r="AH44" s="389"/>
      <c r="AK44" s="389"/>
      <c r="AN44" s="389"/>
      <c r="AO44" s="390"/>
      <c r="BG44" s="15" t="s">
        <v>3595</v>
      </c>
      <c r="BH44" s="15">
        <v>5</v>
      </c>
      <c r="BI44" s="15">
        <v>6</v>
      </c>
      <c r="BJ44" s="15">
        <v>94</v>
      </c>
      <c r="BK44" s="15" cm="1">
        <f t="array" ref="BK44">_xlfn.IFS($AI$4&gt;=17,100,$AI$4&gt;=8,99,$AI$4&gt;=6,98,$AI$4&gt;=2,97,$AI$4&gt;=1,96,1,0)</f>
        <v>0</v>
      </c>
      <c r="BM44" s="16">
        <f>IFERROR(IF(BM43+1&gt;BQ2,IF(BM43+1&gt;BQ2,IF(BP3+BP43&gt;BQ3,"",BP3+BP43)),BM43+1),"")</f>
        <v>39</v>
      </c>
      <c r="BN44" s="16" t="str">
        <f>IFERROR(INDEX(B30:AO180,BM44,BN2),"")</f>
        <v/>
      </c>
      <c r="BO44" s="16" t="str">
        <f>IFERROR(INDEX(B30:AO180,BM44,BO2),"")</f>
        <v/>
      </c>
      <c r="BP44" s="16">
        <f>IFERROR(IF(BM43+1&gt;BQ2,BP43+1,0),"")</f>
        <v>0</v>
      </c>
      <c r="BS44" s="412" t="str">
        <f t="shared" si="1"/>
        <v/>
      </c>
      <c r="BT44" s="413" t="str" cm="1">
        <f t="array" ref="BT44">INDEX(BS:BS,SMALL(IF($BS$2:$BS$101&lt;&gt;"",ROW($BS$2:$BS$101),142),ROW(BS43)))&amp;""</f>
        <v/>
      </c>
      <c r="BU44" s="16" t="str">
        <f>IF(主要!AX53="","",主要!AX53)</f>
        <v/>
      </c>
      <c r="BV44" s="16" t="str">
        <f t="shared" si="2"/>
        <v/>
      </c>
    </row>
    <row r="45" spans="1:74" ht="16.5" customHeight="1" thickBot="1">
      <c r="A45" s="233">
        <v>16</v>
      </c>
      <c r="B45" s="391" t="s">
        <v>743</v>
      </c>
      <c r="C45" s="392" t="s">
        <v>5685</v>
      </c>
      <c r="D45" s="393" t="s">
        <v>3636</v>
      </c>
      <c r="E45" s="392" t="s">
        <v>5731</v>
      </c>
      <c r="F45" s="393" t="s">
        <v>632</v>
      </c>
      <c r="G45" s="392" t="s">
        <v>746</v>
      </c>
      <c r="H45" s="393" t="s">
        <v>632</v>
      </c>
      <c r="I45" s="392" t="s">
        <v>746</v>
      </c>
      <c r="J45" s="394" t="s">
        <v>747</v>
      </c>
      <c r="K45" s="395" t="s">
        <v>748</v>
      </c>
      <c r="L45" s="393" t="s">
        <v>749</v>
      </c>
      <c r="M45" s="392" t="s">
        <v>750</v>
      </c>
      <c r="N45" s="393" t="s">
        <v>701</v>
      </c>
      <c r="O45" s="392" t="s">
        <v>771</v>
      </c>
      <c r="P45" s="393" t="s">
        <v>3713</v>
      </c>
      <c r="Q45" s="392" t="s">
        <v>3714</v>
      </c>
      <c r="R45" s="393" t="s">
        <v>773</v>
      </c>
      <c r="S45" s="392" t="s">
        <v>774</v>
      </c>
      <c r="T45" s="393" t="s">
        <v>792</v>
      </c>
      <c r="U45" s="392" t="s">
        <v>793</v>
      </c>
      <c r="V45" s="388" t="s">
        <v>3647</v>
      </c>
      <c r="W45" s="387" t="s">
        <v>5849</v>
      </c>
      <c r="X45" s="393" t="s">
        <v>632</v>
      </c>
      <c r="Y45" s="392" t="s">
        <v>710</v>
      </c>
      <c r="Z45" s="394" t="s">
        <v>1006</v>
      </c>
      <c r="AA45" s="394" t="s">
        <v>5904</v>
      </c>
      <c r="AH45" s="389"/>
      <c r="AK45" s="389"/>
      <c r="AN45" s="389"/>
      <c r="AO45" s="390"/>
      <c r="BG45" s="15" t="s">
        <v>3596</v>
      </c>
      <c r="BH45" s="15">
        <v>5</v>
      </c>
      <c r="BI45" s="15">
        <v>6</v>
      </c>
      <c r="BJ45" s="15">
        <v>101</v>
      </c>
      <c r="BK45" s="15" cm="1">
        <f t="array" ref="BK45">_xlfn.IFS($AI$4&gt;=17,108,$AI$4&gt;=8,107,$AI$4&gt;=6,106,$AI$4&gt;=2,105,$AI$4&gt;=1,104,1,0)</f>
        <v>0</v>
      </c>
      <c r="BM45" s="16">
        <f>IFERROR(IF(BM44+1&gt;BQ2,IF(BM44+1&gt;BQ2,IF(BP3+BP44&gt;BQ3,"",BP3+BP44)),BM44+1),"")</f>
        <v>40</v>
      </c>
      <c r="BN45" s="16" t="str">
        <f>IFERROR(INDEX(B30:AO180,BM45,BN2),"")</f>
        <v/>
      </c>
      <c r="BO45" s="16" t="str">
        <f>IFERROR(INDEX(B30:AO180,BM45,BO2),"")</f>
        <v/>
      </c>
      <c r="BP45" s="16">
        <f>IFERROR(IF(BM44+1&gt;BQ2,BP44+1,0),"")</f>
        <v>0</v>
      </c>
      <c r="BS45" s="412" t="str">
        <f t="shared" si="1"/>
        <v/>
      </c>
      <c r="BT45" s="413" t="str" cm="1">
        <f t="array" ref="BT45">INDEX(BS:BS,SMALL(IF($BS$2:$BS$101&lt;&gt;"",ROW($BS$2:$BS$101),142),ROW(BS44)))&amp;""</f>
        <v/>
      </c>
      <c r="BU45" s="16" t="str">
        <f>IF(主要!AX54="","",主要!AX54)</f>
        <v/>
      </c>
      <c r="BV45" s="16" t="str">
        <f t="shared" si="2"/>
        <v/>
      </c>
    </row>
    <row r="46" spans="1:74" ht="16.5" customHeight="1" thickTop="1">
      <c r="A46" s="233">
        <v>17</v>
      </c>
      <c r="B46" s="391" t="s">
        <v>764</v>
      </c>
      <c r="C46" s="392" t="s">
        <v>765</v>
      </c>
      <c r="D46" s="393" t="s">
        <v>3635</v>
      </c>
      <c r="E46" s="392" t="s">
        <v>3634</v>
      </c>
      <c r="F46" s="393" t="s">
        <v>766</v>
      </c>
      <c r="G46" s="392" t="s">
        <v>5768</v>
      </c>
      <c r="H46" s="393" t="s">
        <v>767</v>
      </c>
      <c r="I46" s="392" t="s">
        <v>768</v>
      </c>
      <c r="J46" s="394" t="s">
        <v>769</v>
      </c>
      <c r="K46" s="395" t="s">
        <v>770</v>
      </c>
      <c r="L46" s="393" t="s">
        <v>3698</v>
      </c>
      <c r="M46" s="392" t="s">
        <v>3699</v>
      </c>
      <c r="N46" s="393" t="s">
        <v>3706</v>
      </c>
      <c r="O46" s="392" t="s">
        <v>3707</v>
      </c>
      <c r="P46" s="393" t="s">
        <v>3690</v>
      </c>
      <c r="Q46" s="392" t="s">
        <v>3712</v>
      </c>
      <c r="R46" s="393" t="s">
        <v>790</v>
      </c>
      <c r="S46" s="392" t="s">
        <v>791</v>
      </c>
      <c r="T46" s="393" t="s">
        <v>3669</v>
      </c>
      <c r="U46" s="392" t="s">
        <v>815</v>
      </c>
      <c r="V46" s="388" t="s">
        <v>3648</v>
      </c>
      <c r="W46" s="387" t="s">
        <v>5850</v>
      </c>
      <c r="X46" s="393" t="s">
        <v>795</v>
      </c>
      <c r="Y46" s="392" t="s">
        <v>796</v>
      </c>
      <c r="Z46" s="394" t="s">
        <v>1039</v>
      </c>
      <c r="AA46" s="394" t="s">
        <v>5905</v>
      </c>
      <c r="AH46" s="389"/>
      <c r="AK46" s="389"/>
      <c r="AN46" s="389"/>
      <c r="AO46" s="390"/>
      <c r="BG46" s="235" t="s">
        <v>3597</v>
      </c>
      <c r="BH46" s="235">
        <v>7</v>
      </c>
      <c r="BI46" s="235">
        <v>8</v>
      </c>
      <c r="BJ46" s="235">
        <v>20</v>
      </c>
      <c r="BK46" s="235" cm="1">
        <f t="array" ref="BK46">_xlfn.IFS($AI$5&gt;=14,25,$AI$5&gt;=10,24,$AI$5&gt;=6,23,$AI$5&gt;=2,22,1,0)</f>
        <v>0</v>
      </c>
      <c r="BM46" s="16">
        <f>IFERROR(IF(BM45+1&gt;BQ2,IF(BM45+1&gt;BQ2,IF(BP3+BP45&gt;BQ3,"",BP3+BP45)),BM45+1),"")</f>
        <v>41</v>
      </c>
      <c r="BN46" s="16" t="str">
        <f>IFERROR(INDEX(B30:AO180,BM46,BN2),"")</f>
        <v/>
      </c>
      <c r="BO46" s="16" t="str">
        <f>IFERROR(INDEX(B30:AO180,BM46,BO2),"")</f>
        <v/>
      </c>
      <c r="BP46" s="16">
        <f>IFERROR(IF(BM45+1&gt;BQ2,BP45+1,0),"")</f>
        <v>0</v>
      </c>
      <c r="BS46" s="412" t="str">
        <f t="shared" si="1"/>
        <v/>
      </c>
      <c r="BT46" s="413" t="str" cm="1">
        <f t="array" ref="BT46">INDEX(BS:BS,SMALL(IF($BS$2:$BS$101&lt;&gt;"",ROW($BS$2:$BS$101),142),ROW(BS45)))&amp;""</f>
        <v/>
      </c>
      <c r="BU46" s="16" t="str">
        <f>IF(主要!AX55="","",主要!AX55)</f>
        <v/>
      </c>
      <c r="BV46" s="16" t="str">
        <f t="shared" si="2"/>
        <v/>
      </c>
    </row>
    <row r="47" spans="1:74" ht="16.5" customHeight="1">
      <c r="A47" s="233">
        <v>18</v>
      </c>
      <c r="B47" s="391" t="s">
        <v>779</v>
      </c>
      <c r="C47" s="392" t="s">
        <v>780</v>
      </c>
      <c r="D47" s="393" t="s">
        <v>632</v>
      </c>
      <c r="E47" s="392" t="s">
        <v>781</v>
      </c>
      <c r="F47" s="393" t="s">
        <v>3677</v>
      </c>
      <c r="G47" s="392" t="s">
        <v>3678</v>
      </c>
      <c r="H47" s="393" t="s">
        <v>782</v>
      </c>
      <c r="I47" s="392" t="s">
        <v>783</v>
      </c>
      <c r="J47" s="396" t="s">
        <v>784</v>
      </c>
      <c r="K47" s="397" t="s">
        <v>785</v>
      </c>
      <c r="L47" s="393" t="s">
        <v>647</v>
      </c>
      <c r="M47" s="392" t="s">
        <v>657</v>
      </c>
      <c r="N47" s="393" t="s">
        <v>3704</v>
      </c>
      <c r="O47" s="392" t="s">
        <v>3705</v>
      </c>
      <c r="P47" s="393" t="s">
        <v>632</v>
      </c>
      <c r="Q47" s="392" t="s">
        <v>710</v>
      </c>
      <c r="R47" s="394" t="s">
        <v>813</v>
      </c>
      <c r="S47" s="395" t="s">
        <v>814</v>
      </c>
      <c r="T47" s="393" t="s">
        <v>3670</v>
      </c>
      <c r="U47" s="392" t="s">
        <v>834</v>
      </c>
      <c r="V47" s="388" t="s">
        <v>3649</v>
      </c>
      <c r="W47" s="387" t="s">
        <v>5851</v>
      </c>
      <c r="X47" s="393" t="s">
        <v>818</v>
      </c>
      <c r="Y47" s="392" t="s">
        <v>819</v>
      </c>
      <c r="Z47" s="394" t="s">
        <v>1056</v>
      </c>
      <c r="AA47" s="394" t="s">
        <v>1057</v>
      </c>
      <c r="AH47" s="389"/>
      <c r="AK47" s="389"/>
      <c r="AN47" s="389"/>
      <c r="AO47" s="390"/>
      <c r="BG47" s="15" t="s">
        <v>3687</v>
      </c>
      <c r="BH47" s="15">
        <v>7</v>
      </c>
      <c r="BI47" s="15">
        <v>8</v>
      </c>
      <c r="BJ47" s="15">
        <v>26</v>
      </c>
      <c r="BK47" s="15" cm="1">
        <f t="array" ref="BK47">_xlfn.IFS($AI$5&gt;=14,30,$AI$5&gt;=10,29,$AI$5&gt;=6,28,$AI$5&gt;=2,27,1,0)</f>
        <v>0</v>
      </c>
      <c r="BM47" s="16">
        <f>IFERROR(IF(BM46+1&gt;BQ2,IF(BM46+1&gt;BQ2,IF(BP3+BP46&gt;BQ3,"",BP3+BP46)),BM46+1),"")</f>
        <v>42</v>
      </c>
      <c r="BN47" s="16" t="str">
        <f>IFERROR(INDEX(B30:AO180,BM47,BN2),"")</f>
        <v/>
      </c>
      <c r="BO47" s="16" t="str">
        <f>IFERROR(INDEX(B30:AO180,BM47,BO2),"")</f>
        <v/>
      </c>
      <c r="BP47" s="16">
        <f>IFERROR(IF(BM46+1&gt;BQ2,BP46+1,0),"")</f>
        <v>0</v>
      </c>
      <c r="BS47" s="412" t="str">
        <f t="shared" si="1"/>
        <v/>
      </c>
      <c r="BT47" s="413" t="str" cm="1">
        <f t="array" ref="BT47">INDEX(BS:BS,SMALL(IF($BS$2:$BS$101&lt;&gt;"",ROW($BS$2:$BS$101),142),ROW(BS46)))&amp;""</f>
        <v/>
      </c>
      <c r="BU47" s="16" t="str">
        <f>IF(主要!AX56="","",主要!AX56)</f>
        <v/>
      </c>
      <c r="BV47" s="16" t="str">
        <f t="shared" si="2"/>
        <v/>
      </c>
    </row>
    <row r="48" spans="1:74" ht="16.5" customHeight="1">
      <c r="A48" s="233">
        <v>19</v>
      </c>
      <c r="B48" s="391" t="s">
        <v>799</v>
      </c>
      <c r="C48" s="392" t="s">
        <v>4572</v>
      </c>
      <c r="D48" s="393" t="s">
        <v>800</v>
      </c>
      <c r="E48" s="392" t="s">
        <v>801</v>
      </c>
      <c r="F48" s="393" t="s">
        <v>5653</v>
      </c>
      <c r="G48" s="392" t="s">
        <v>5769</v>
      </c>
      <c r="H48" s="393" t="s">
        <v>804</v>
      </c>
      <c r="I48" s="392" t="s">
        <v>805</v>
      </c>
      <c r="J48" s="396" t="s">
        <v>806</v>
      </c>
      <c r="K48" s="397" t="s">
        <v>807</v>
      </c>
      <c r="L48" s="393" t="s">
        <v>786</v>
      </c>
      <c r="M48" s="392" t="s">
        <v>787</v>
      </c>
      <c r="N48" s="393" t="s">
        <v>632</v>
      </c>
      <c r="O48" s="392" t="s">
        <v>746</v>
      </c>
      <c r="P48" s="393" t="s">
        <v>647</v>
      </c>
      <c r="Q48" s="392" t="s">
        <v>657</v>
      </c>
      <c r="R48" s="394" t="s">
        <v>832</v>
      </c>
      <c r="S48" s="395" t="s">
        <v>833</v>
      </c>
      <c r="T48" s="393" t="s">
        <v>3671</v>
      </c>
      <c r="U48" s="392" t="s">
        <v>856</v>
      </c>
      <c r="V48" s="388" t="s">
        <v>3650</v>
      </c>
      <c r="W48" s="387" t="s">
        <v>5852</v>
      </c>
      <c r="X48" s="394" t="s">
        <v>835</v>
      </c>
      <c r="Y48" s="395" t="s">
        <v>836</v>
      </c>
      <c r="Z48" s="394" t="s">
        <v>1074</v>
      </c>
      <c r="AA48" s="394" t="s">
        <v>1075</v>
      </c>
      <c r="AH48" s="389"/>
      <c r="AK48" s="389"/>
      <c r="AL48" s="389"/>
      <c r="AM48" s="389"/>
      <c r="AN48" s="389"/>
      <c r="AO48" s="390"/>
      <c r="BG48" s="15" t="s">
        <v>3598</v>
      </c>
      <c r="BH48" s="15">
        <v>7</v>
      </c>
      <c r="BI48" s="15">
        <v>8</v>
      </c>
      <c r="BJ48" s="15">
        <v>31</v>
      </c>
      <c r="BK48" s="15" cm="1">
        <f t="array" ref="BK48">_xlfn.IFS($AI$5&gt;=14,34,$AI$5&gt;=10,33,$AI$5&gt;=6,32,$AI$5&gt;=2,31,1,0)</f>
        <v>0</v>
      </c>
      <c r="BM48" s="16">
        <f>IFERROR(IF(BM47+1&gt;BQ2,IF(BM47+1&gt;BQ2,IF(BP3+BP47&gt;BQ3,"",BP3+BP47)),BM47+1),"")</f>
        <v>43</v>
      </c>
      <c r="BN48" s="16" t="str">
        <f>IFERROR(INDEX(B30:AO180,BM48,BN2),"")</f>
        <v/>
      </c>
      <c r="BO48" s="16" t="str">
        <f>IFERROR(INDEX(B30:AO180,BM48,BO2),"")</f>
        <v/>
      </c>
      <c r="BP48" s="16">
        <f>IFERROR(IF(BM47+1&gt;BQ2,BP47+1,0),"")</f>
        <v>0</v>
      </c>
      <c r="BS48" s="412" t="str">
        <f t="shared" si="1"/>
        <v/>
      </c>
      <c r="BT48" s="413" t="str" cm="1">
        <f t="array" ref="BT48">INDEX(BS:BS,SMALL(IF($BS$2:$BS$101&lt;&gt;"",ROW($BS$2:$BS$101),142),ROW(BS47)))&amp;""</f>
        <v/>
      </c>
      <c r="BU48" s="16" t="str">
        <f>IF(主要!AX57="","",主要!AX57)</f>
        <v/>
      </c>
      <c r="BV48" s="16" t="str">
        <f t="shared" si="2"/>
        <v/>
      </c>
    </row>
    <row r="49" spans="1:74" ht="16.5" customHeight="1">
      <c r="A49" s="233">
        <v>20</v>
      </c>
      <c r="B49" s="398" t="s">
        <v>820</v>
      </c>
      <c r="C49" s="395" t="s">
        <v>5686</v>
      </c>
      <c r="D49" s="393" t="s">
        <v>821</v>
      </c>
      <c r="E49" s="392" t="s">
        <v>5732</v>
      </c>
      <c r="F49" s="394" t="s">
        <v>802</v>
      </c>
      <c r="G49" s="395" t="s">
        <v>803</v>
      </c>
      <c r="H49" s="394" t="s">
        <v>823</v>
      </c>
      <c r="I49" s="395" t="s">
        <v>824</v>
      </c>
      <c r="J49" s="396" t="s">
        <v>889</v>
      </c>
      <c r="K49" s="397" t="s">
        <v>890</v>
      </c>
      <c r="L49" s="393" t="s">
        <v>3696</v>
      </c>
      <c r="M49" s="392" t="s">
        <v>3697</v>
      </c>
      <c r="N49" s="393" t="s">
        <v>647</v>
      </c>
      <c r="O49" s="392" t="s">
        <v>810</v>
      </c>
      <c r="P49" s="393" t="s">
        <v>753</v>
      </c>
      <c r="Q49" s="392" t="s">
        <v>754</v>
      </c>
      <c r="R49" s="394" t="s">
        <v>854</v>
      </c>
      <c r="S49" s="395" t="s">
        <v>855</v>
      </c>
      <c r="T49" s="393" t="s">
        <v>3672</v>
      </c>
      <c r="U49" s="392" t="s">
        <v>877</v>
      </c>
      <c r="V49" s="388" t="s">
        <v>3651</v>
      </c>
      <c r="W49" s="387" t="s">
        <v>5853</v>
      </c>
      <c r="X49" s="394" t="s">
        <v>857</v>
      </c>
      <c r="Y49" s="395" t="s">
        <v>858</v>
      </c>
      <c r="Z49" s="394" t="s">
        <v>1092</v>
      </c>
      <c r="AA49" s="394" t="s">
        <v>1093</v>
      </c>
      <c r="AH49" s="389"/>
      <c r="AK49" s="389"/>
      <c r="AL49" s="389"/>
      <c r="AM49" s="389"/>
      <c r="AN49" s="389"/>
      <c r="AO49" s="390"/>
      <c r="BG49" s="15" t="s">
        <v>3599</v>
      </c>
      <c r="BH49" s="15">
        <v>7</v>
      </c>
      <c r="BI49" s="15">
        <v>8</v>
      </c>
      <c r="BJ49" s="15">
        <v>35</v>
      </c>
      <c r="BK49" s="15" cm="1">
        <f t="array" ref="BK49">_xlfn.IFS($AI$5&gt;=14,39,$AI$5&gt;=10,38,$AI$5&gt;=6,37,$AI$5&gt;=2,36,1,0)</f>
        <v>0</v>
      </c>
      <c r="BM49" s="16">
        <f>IFERROR(IF(BM48+1&gt;BQ2,IF(BM48+1&gt;BQ2,IF(BP3+BP48&gt;BQ3,"",BP3+BP48)),BM48+1),"")</f>
        <v>44</v>
      </c>
      <c r="BN49" s="16" t="str">
        <f>IFERROR(INDEX(B30:AO180,BM49,BN2),"")</f>
        <v/>
      </c>
      <c r="BO49" s="16" t="str">
        <f>IFERROR(INDEX(B30:AO180,BM49,BO2),"")</f>
        <v/>
      </c>
      <c r="BP49" s="16">
        <f>IFERROR(IF(BM48+1&gt;BQ2,BP48+1,0),"")</f>
        <v>0</v>
      </c>
      <c r="BS49" s="412" t="str">
        <f t="shared" si="1"/>
        <v/>
      </c>
      <c r="BT49" s="413" t="str" cm="1">
        <f t="array" ref="BT49">INDEX(BS:BS,SMALL(IF($BS$2:$BS$101&lt;&gt;"",ROW($BS$2:$BS$101),142),ROW(BS48)))&amp;""</f>
        <v/>
      </c>
      <c r="BU49" s="16" t="str">
        <f>IF(主要!AX58="","",主要!AX58)</f>
        <v/>
      </c>
      <c r="BV49" s="16" t="str">
        <f t="shared" si="2"/>
        <v/>
      </c>
    </row>
    <row r="50" spans="1:74" ht="16.5" customHeight="1">
      <c r="A50" s="233">
        <v>21</v>
      </c>
      <c r="B50" s="398" t="s">
        <v>839</v>
      </c>
      <c r="C50" s="395" t="s">
        <v>840</v>
      </c>
      <c r="D50" s="393" t="s">
        <v>841</v>
      </c>
      <c r="E50" s="392" t="s">
        <v>5733</v>
      </c>
      <c r="F50" s="394" t="s">
        <v>822</v>
      </c>
      <c r="G50" s="395" t="s">
        <v>5770</v>
      </c>
      <c r="H50" s="394" t="s">
        <v>844</v>
      </c>
      <c r="I50" s="395" t="s">
        <v>845</v>
      </c>
      <c r="J50" s="396" t="s">
        <v>4584</v>
      </c>
      <c r="K50" s="397" t="s">
        <v>5623</v>
      </c>
      <c r="L50" s="393" t="s">
        <v>808</v>
      </c>
      <c r="M50" s="392" t="s">
        <v>809</v>
      </c>
      <c r="N50" s="393" t="s">
        <v>828</v>
      </c>
      <c r="O50" s="392" t="s">
        <v>829</v>
      </c>
      <c r="P50" s="393" t="s">
        <v>3709</v>
      </c>
      <c r="Q50" s="392" t="s">
        <v>772</v>
      </c>
      <c r="R50" s="394" t="s">
        <v>875</v>
      </c>
      <c r="S50" s="395" t="s">
        <v>876</v>
      </c>
      <c r="T50" s="393" t="s">
        <v>3673</v>
      </c>
      <c r="U50" s="392" t="s">
        <v>899</v>
      </c>
      <c r="V50" s="388" t="s">
        <v>3653</v>
      </c>
      <c r="W50" s="387" t="s">
        <v>5855</v>
      </c>
      <c r="X50" s="394" t="s">
        <v>878</v>
      </c>
      <c r="Y50" s="395" t="s">
        <v>879</v>
      </c>
      <c r="Z50" s="394" t="s">
        <v>1126</v>
      </c>
      <c r="AA50" s="394" t="s">
        <v>5909</v>
      </c>
      <c r="AH50" s="389"/>
      <c r="AK50" s="389"/>
      <c r="AL50" s="389"/>
      <c r="AM50" s="389"/>
      <c r="AN50" s="389"/>
      <c r="AO50" s="390"/>
      <c r="BG50" s="15" t="s">
        <v>3600</v>
      </c>
      <c r="BH50" s="15">
        <v>7</v>
      </c>
      <c r="BI50" s="15">
        <v>8</v>
      </c>
      <c r="BJ50" s="15">
        <v>40</v>
      </c>
      <c r="BK50" s="15" cm="1">
        <f t="array" ref="BK50">_xlfn.IFS($AI$5&gt;=14,45,$AI$5&gt;=10,44,$AI$5&gt;=6,43,$AI$5&gt;=2,42,1,0)</f>
        <v>0</v>
      </c>
      <c r="BM50" s="16">
        <f>IFERROR(IF(BM49+1&gt;BQ2,IF(BM49+1&gt;BQ2,IF(BP3+BP49&gt;BQ3,"",BP3+BP49)),BM49+1),"")</f>
        <v>45</v>
      </c>
      <c r="BN50" s="16" t="str">
        <f>IFERROR(INDEX(B30:AO180,BM50,BN2),"")</f>
        <v/>
      </c>
      <c r="BO50" s="16" t="str">
        <f>IFERROR(INDEX(B30:AO180,BM50,BO2),"")</f>
        <v/>
      </c>
      <c r="BP50" s="16">
        <f>IFERROR(IF(BM49+1&gt;BQ2,BP49+1,0),"")</f>
        <v>0</v>
      </c>
      <c r="BS50" s="412" t="str">
        <f t="shared" si="1"/>
        <v/>
      </c>
      <c r="BT50" s="413" t="str" cm="1">
        <f t="array" ref="BT50">INDEX(BS:BS,SMALL(IF($BS$2:$BS$101&lt;&gt;"",ROW($BS$2:$BS$101),142),ROW(BS49)))&amp;""</f>
        <v/>
      </c>
      <c r="BU50" s="16" t="str">
        <f>IF(主要!AX59="","",主要!AX59)</f>
        <v/>
      </c>
      <c r="BV50" s="16" t="str">
        <f t="shared" si="2"/>
        <v/>
      </c>
    </row>
    <row r="51" spans="1:74" ht="16.5" customHeight="1">
      <c r="A51" s="233">
        <v>22</v>
      </c>
      <c r="B51" s="398" t="s">
        <v>861</v>
      </c>
      <c r="C51" s="395" t="s">
        <v>5687</v>
      </c>
      <c r="D51" s="393" t="s">
        <v>862</v>
      </c>
      <c r="E51" s="392" t="s">
        <v>863</v>
      </c>
      <c r="F51" s="394" t="s">
        <v>842</v>
      </c>
      <c r="G51" s="395" t="s">
        <v>843</v>
      </c>
      <c r="H51" s="394" t="s">
        <v>865</v>
      </c>
      <c r="I51" s="395" t="s">
        <v>866</v>
      </c>
      <c r="J51" s="396" t="s">
        <v>4585</v>
      </c>
      <c r="K51" s="397" t="s">
        <v>5624</v>
      </c>
      <c r="L51" s="393" t="s">
        <v>690</v>
      </c>
      <c r="M51" s="392" t="s">
        <v>827</v>
      </c>
      <c r="N51" s="393" t="s">
        <v>850</v>
      </c>
      <c r="O51" s="392" t="s">
        <v>851</v>
      </c>
      <c r="P51" s="393" t="s">
        <v>3710</v>
      </c>
      <c r="Q51" s="392" t="s">
        <v>3711</v>
      </c>
      <c r="R51" s="394" t="s">
        <v>897</v>
      </c>
      <c r="S51" s="395" t="s">
        <v>898</v>
      </c>
      <c r="T51" s="393" t="s">
        <v>3674</v>
      </c>
      <c r="U51" s="392" t="s">
        <v>915</v>
      </c>
      <c r="V51" s="388" t="s">
        <v>3657</v>
      </c>
      <c r="W51" s="387" t="s">
        <v>5859</v>
      </c>
      <c r="X51" s="394" t="s">
        <v>900</v>
      </c>
      <c r="Y51" s="395" t="s">
        <v>901</v>
      </c>
      <c r="Z51" s="394" t="s">
        <v>1155</v>
      </c>
      <c r="AA51" s="394" t="s">
        <v>5911</v>
      </c>
      <c r="AB51" s="389"/>
      <c r="AG51" s="389"/>
      <c r="AH51" s="389"/>
      <c r="AK51" s="389"/>
      <c r="AL51" s="389"/>
      <c r="AM51" s="389"/>
      <c r="AN51" s="389"/>
      <c r="AO51" s="390"/>
      <c r="BG51" s="15" t="s">
        <v>3601</v>
      </c>
      <c r="BH51" s="15">
        <v>7</v>
      </c>
      <c r="BI51" s="15">
        <v>8</v>
      </c>
      <c r="BJ51" s="15">
        <v>46</v>
      </c>
      <c r="BK51" s="15" cm="1">
        <f t="array" ref="BK51">_xlfn.IFS($AI$5&gt;=14,50,$AI$5&gt;=10,49,$AI$5&gt;=6,48,$AI$5&gt;=2,47,1,0)</f>
        <v>0</v>
      </c>
      <c r="BM51" s="16">
        <f>IFERROR(IF(BM50+1&gt;BQ2,IF(BM50+1&gt;BQ2,IF(BP3+BP50&gt;BQ3,"",BP3+BP50)),BM50+1),"")</f>
        <v>46</v>
      </c>
      <c r="BN51" s="16" t="str">
        <f>IFERROR(INDEX(B30:AO180,BM51,BN2),"")</f>
        <v/>
      </c>
      <c r="BO51" s="16" t="str">
        <f>IFERROR(INDEX(B30:AO180,BM51,BO2),"")</f>
        <v/>
      </c>
      <c r="BP51" s="16">
        <f>IFERROR(IF(BM50+1&gt;BQ2,BP50+1,0),"")</f>
        <v>0</v>
      </c>
      <c r="BS51" s="412" t="str">
        <f t="shared" si="1"/>
        <v/>
      </c>
      <c r="BT51" s="413" t="str" cm="1">
        <f t="array" ref="BT51">INDEX(BS:BS,SMALL(IF($BS$2:$BS$101&lt;&gt;"",ROW($BS$2:$BS$101),142),ROW(BS50)))&amp;""</f>
        <v/>
      </c>
      <c r="BU51" s="16" t="str">
        <f>IF(主要!AX60="","",主要!AX60)</f>
        <v/>
      </c>
      <c r="BV51" s="16" t="str">
        <f t="shared" si="2"/>
        <v/>
      </c>
    </row>
    <row r="52" spans="1:74" ht="16.5" customHeight="1" thickBot="1">
      <c r="A52" s="233">
        <v>23</v>
      </c>
      <c r="B52" s="398" t="s">
        <v>882</v>
      </c>
      <c r="C52" s="395" t="s">
        <v>883</v>
      </c>
      <c r="D52" s="394" t="s">
        <v>884</v>
      </c>
      <c r="E52" s="395" t="s">
        <v>885</v>
      </c>
      <c r="F52" s="394" t="s">
        <v>864</v>
      </c>
      <c r="G52" s="395" t="s">
        <v>5771</v>
      </c>
      <c r="H52" s="394" t="s">
        <v>753</v>
      </c>
      <c r="I52" s="395" t="s">
        <v>888</v>
      </c>
      <c r="J52" s="396" t="s">
        <v>4586</v>
      </c>
      <c r="K52" s="397" t="s">
        <v>5625</v>
      </c>
      <c r="L52" s="393" t="s">
        <v>848</v>
      </c>
      <c r="M52" s="392" t="s">
        <v>849</v>
      </c>
      <c r="N52" s="393" t="s">
        <v>871</v>
      </c>
      <c r="O52" s="392" t="s">
        <v>872</v>
      </c>
      <c r="P52" s="393" t="s">
        <v>788</v>
      </c>
      <c r="Q52" s="392" t="s">
        <v>789</v>
      </c>
      <c r="R52" s="396" t="s">
        <v>884</v>
      </c>
      <c r="S52" s="397" t="s">
        <v>914</v>
      </c>
      <c r="T52" s="393" t="s">
        <v>3675</v>
      </c>
      <c r="U52" s="392" t="s">
        <v>932</v>
      </c>
      <c r="V52" s="388" t="s">
        <v>3660</v>
      </c>
      <c r="W52" s="387" t="s">
        <v>5862</v>
      </c>
      <c r="X52" s="394" t="s">
        <v>916</v>
      </c>
      <c r="Y52" s="395" t="s">
        <v>917</v>
      </c>
      <c r="Z52" s="394" t="s">
        <v>1224</v>
      </c>
      <c r="AA52" s="394" t="s">
        <v>5915</v>
      </c>
      <c r="AB52" s="389"/>
      <c r="AG52" s="389"/>
      <c r="AH52" s="389"/>
      <c r="AM52" s="389"/>
      <c r="AN52" s="389"/>
      <c r="AO52" s="390"/>
      <c r="BG52" s="15" t="s">
        <v>3602</v>
      </c>
      <c r="BH52" s="15">
        <v>7</v>
      </c>
      <c r="BI52" s="15">
        <v>8</v>
      </c>
      <c r="BJ52" s="15">
        <v>51</v>
      </c>
      <c r="BK52" s="15" cm="1">
        <f t="array" ref="BK52">_xlfn.IFS($AI$5&gt;=14,55,$AI$5&gt;=10,54,$AI$5&gt;=6,53,$AI$5&gt;=2,52,1,0)</f>
        <v>0</v>
      </c>
      <c r="BM52" s="16">
        <f>IFERROR(IF(BM51+1&gt;BQ2,IF(BM51+1&gt;BQ2,IF(BP3+BP51&gt;BQ3,"",BP3+BP51)),BM51+1),"")</f>
        <v>47</v>
      </c>
      <c r="BN52" s="16" t="str">
        <f>IFERROR(INDEX(B30:AO180,BM52,BN2),"")</f>
        <v/>
      </c>
      <c r="BO52" s="16" t="str">
        <f>IFERROR(INDEX(B30:AO180,BM52,BO2),"")</f>
        <v/>
      </c>
      <c r="BP52" s="16">
        <f>IFERROR(IF(BM51+1&gt;BQ2,BP51+1,0),"")</f>
        <v>0</v>
      </c>
      <c r="BS52" s="412" t="str">
        <f t="shared" si="1"/>
        <v/>
      </c>
      <c r="BT52" s="413" t="str" cm="1">
        <f t="array" ref="BT52">INDEX(BS:BS,SMALL(IF($BS$2:$BS$101&lt;&gt;"",ROW($BS$2:$BS$101),142),ROW(BS51)))&amp;""</f>
        <v/>
      </c>
      <c r="BU52" s="16" t="str">
        <f>IF(主要!AX61="","",主要!AX61)</f>
        <v/>
      </c>
      <c r="BV52" s="16" t="str">
        <f t="shared" si="2"/>
        <v/>
      </c>
    </row>
    <row r="53" spans="1:74" ht="16.5" customHeight="1" thickTop="1">
      <c r="A53" s="233">
        <v>24</v>
      </c>
      <c r="B53" s="399" t="s">
        <v>904</v>
      </c>
      <c r="C53" s="397" t="s">
        <v>5690</v>
      </c>
      <c r="D53" s="394" t="s">
        <v>905</v>
      </c>
      <c r="E53" s="395" t="s">
        <v>5734</v>
      </c>
      <c r="F53" s="394" t="s">
        <v>886</v>
      </c>
      <c r="G53" s="395" t="s">
        <v>887</v>
      </c>
      <c r="H53" s="394" t="s">
        <v>907</v>
      </c>
      <c r="I53" s="395" t="s">
        <v>908</v>
      </c>
      <c r="J53" s="396" t="s">
        <v>4587</v>
      </c>
      <c r="K53" s="397" t="s">
        <v>5626</v>
      </c>
      <c r="L53" s="393" t="s">
        <v>869</v>
      </c>
      <c r="M53" s="392" t="s">
        <v>870</v>
      </c>
      <c r="N53" s="393" t="s">
        <v>893</v>
      </c>
      <c r="O53" s="392" t="s">
        <v>894</v>
      </c>
      <c r="P53" s="393" t="s">
        <v>811</v>
      </c>
      <c r="Q53" s="392" t="s">
        <v>812</v>
      </c>
      <c r="R53" s="396" t="s">
        <v>930</v>
      </c>
      <c r="S53" s="397" t="s">
        <v>931</v>
      </c>
      <c r="T53" s="393" t="s">
        <v>3676</v>
      </c>
      <c r="U53" s="392" t="s">
        <v>950</v>
      </c>
      <c r="V53" s="388" t="s">
        <v>3663</v>
      </c>
      <c r="W53" s="387" t="s">
        <v>5865</v>
      </c>
      <c r="X53" s="396" t="s">
        <v>933</v>
      </c>
      <c r="Y53" s="397" t="s">
        <v>934</v>
      </c>
      <c r="Z53" s="394" t="s">
        <v>1172</v>
      </c>
      <c r="AA53" s="394" t="s">
        <v>1173</v>
      </c>
      <c r="AB53" s="389"/>
      <c r="AG53" s="389"/>
      <c r="AH53" s="389"/>
      <c r="AM53" s="389"/>
      <c r="AN53" s="389"/>
      <c r="AO53" s="390"/>
      <c r="BG53" s="235" t="s">
        <v>477</v>
      </c>
      <c r="BH53" s="235">
        <v>9</v>
      </c>
      <c r="BI53" s="235">
        <v>10</v>
      </c>
      <c r="BJ53" s="235">
        <v>13</v>
      </c>
      <c r="BK53" s="235" cm="1">
        <f t="array" ref="BK53">_xlfn.IFS($AI$6&gt;=18,17,$AI$6&gt;=15,16,$AI$6&gt;=10,15,$AI$6&gt;=7,14,$AI$6&gt;=3,13,1,0)</f>
        <v>0</v>
      </c>
      <c r="BM53" s="16">
        <f>IFERROR(IF(BM52+1&gt;BQ2,IF(BM52+1&gt;BQ2,IF(BP3+BP52&gt;BQ3,"",BP3+BP52)),BM52+1),"")</f>
        <v>48</v>
      </c>
      <c r="BN53" s="16" t="str">
        <f>IFERROR(INDEX(B30:AO180,BM53,BN2),"")</f>
        <v/>
      </c>
      <c r="BO53" s="16" t="str">
        <f>IFERROR(INDEX(B30:AO180,BM53,BO2),"")</f>
        <v/>
      </c>
      <c r="BP53" s="16">
        <f>IFERROR(IF(BM52+1&gt;BQ2,BP52+1,0),"")</f>
        <v>0</v>
      </c>
      <c r="BS53" s="412" t="str">
        <f t="shared" si="1"/>
        <v/>
      </c>
      <c r="BT53" s="413" t="str" cm="1">
        <f t="array" ref="BT53">INDEX(BS:BS,SMALL(IF($BS$2:$BS$101&lt;&gt;"",ROW($BS$2:$BS$101),142),ROW(BS52)))&amp;""</f>
        <v/>
      </c>
      <c r="BU53" s="16" t="str">
        <f>IF(主要!AX62="","",主要!AX62)</f>
        <v/>
      </c>
      <c r="BV53" s="16" t="str">
        <f t="shared" si="2"/>
        <v/>
      </c>
    </row>
    <row r="54" spans="1:74" ht="16.5" customHeight="1">
      <c r="A54" s="233">
        <v>25</v>
      </c>
      <c r="B54" s="399" t="s">
        <v>920</v>
      </c>
      <c r="C54" s="397" t="s">
        <v>5688</v>
      </c>
      <c r="D54" s="394" t="s">
        <v>921</v>
      </c>
      <c r="E54" s="395" t="s">
        <v>5735</v>
      </c>
      <c r="F54" s="394" t="s">
        <v>906</v>
      </c>
      <c r="G54" s="395" t="s">
        <v>5772</v>
      </c>
      <c r="H54" s="394" t="s">
        <v>924</v>
      </c>
      <c r="I54" s="395" t="s">
        <v>925</v>
      </c>
      <c r="J54" s="396" t="s">
        <v>4588</v>
      </c>
      <c r="K54" s="397" t="s">
        <v>5627</v>
      </c>
      <c r="L54" s="393" t="s">
        <v>891</v>
      </c>
      <c r="M54" s="392" t="s">
        <v>892</v>
      </c>
      <c r="N54" s="394" t="s">
        <v>4696</v>
      </c>
      <c r="O54" s="395" t="s">
        <v>911</v>
      </c>
      <c r="P54" s="393" t="s">
        <v>830</v>
      </c>
      <c r="Q54" s="392" t="s">
        <v>831</v>
      </c>
      <c r="R54" s="396" t="s">
        <v>948</v>
      </c>
      <c r="S54" s="397" t="s">
        <v>949</v>
      </c>
      <c r="T54" s="393" t="s">
        <v>3734</v>
      </c>
      <c r="U54" s="392" t="s">
        <v>3735</v>
      </c>
      <c r="V54" s="402" t="s">
        <v>1504</v>
      </c>
      <c r="W54" s="403" t="s">
        <v>5877</v>
      </c>
      <c r="X54" s="396" t="s">
        <v>951</v>
      </c>
      <c r="Y54" s="397" t="s">
        <v>952</v>
      </c>
      <c r="Z54" s="393" t="s">
        <v>777</v>
      </c>
      <c r="AA54" s="393" t="s">
        <v>778</v>
      </c>
      <c r="AB54" s="389"/>
      <c r="AC54" s="389"/>
      <c r="AG54" s="389"/>
      <c r="AH54" s="389"/>
      <c r="AK54" s="389"/>
      <c r="AL54" s="389"/>
      <c r="AM54" s="389"/>
      <c r="AN54" s="389"/>
      <c r="AO54" s="390"/>
      <c r="BG54" s="15" t="s">
        <v>478</v>
      </c>
      <c r="BH54" s="15">
        <v>9</v>
      </c>
      <c r="BI54" s="15">
        <v>10</v>
      </c>
      <c r="BJ54" s="15">
        <v>18</v>
      </c>
      <c r="BK54" s="15" cm="1">
        <f t="array" ref="BK54">_xlfn.IFS($AI$6&gt;=15,46,$AI$6&gt;=10,45,$AI$6&gt;=7,44,$AI$6&gt;=3,43,1,0)</f>
        <v>0</v>
      </c>
      <c r="BM54" s="16">
        <f>IFERROR(IF(BM53+1&gt;BQ2,IF(BM53+1&gt;BQ2,IF(BP3+BP53&gt;BQ3,"",BP3+BP53)),BM53+1),"")</f>
        <v>49</v>
      </c>
      <c r="BN54" s="16" t="str">
        <f>IFERROR(INDEX(B30:AO180,BM54,BN2),"")</f>
        <v/>
      </c>
      <c r="BO54" s="16" t="str">
        <f>IFERROR(INDEX(B30:AO180,BM54,BO2),"")</f>
        <v/>
      </c>
      <c r="BP54" s="16">
        <f>IFERROR(IF(BM53+1&gt;BQ2,BP53+1,0),"")</f>
        <v>0</v>
      </c>
      <c r="BS54" s="412" t="str">
        <f t="shared" si="1"/>
        <v/>
      </c>
      <c r="BT54" s="413" t="str" cm="1">
        <f t="array" ref="BT54">INDEX(BS:BS,SMALL(IF($BS$2:$BS$101&lt;&gt;"",ROW($BS$2:$BS$101),142),ROW(BS53)))&amp;""</f>
        <v/>
      </c>
      <c r="BU54" s="16" t="str">
        <f>IF(主要!AX63="","",主要!AX63)</f>
        <v/>
      </c>
      <c r="BV54" s="16" t="str">
        <f t="shared" si="2"/>
        <v/>
      </c>
    </row>
    <row r="55" spans="1:74" ht="16.5" customHeight="1">
      <c r="A55" s="233">
        <v>26</v>
      </c>
      <c r="B55" s="399" t="s">
        <v>937</v>
      </c>
      <c r="C55" s="397" t="s">
        <v>4567</v>
      </c>
      <c r="D55" s="394" t="s">
        <v>938</v>
      </c>
      <c r="E55" s="395" t="s">
        <v>939</v>
      </c>
      <c r="F55" s="396" t="s">
        <v>922</v>
      </c>
      <c r="G55" s="397" t="s">
        <v>923</v>
      </c>
      <c r="H55" s="396" t="s">
        <v>941</v>
      </c>
      <c r="I55" s="397" t="s">
        <v>5644</v>
      </c>
      <c r="J55" s="396" t="s">
        <v>4589</v>
      </c>
      <c r="K55" s="397" t="s">
        <v>5628</v>
      </c>
      <c r="L55" s="393" t="s">
        <v>909</v>
      </c>
      <c r="M55" s="392" t="s">
        <v>910</v>
      </c>
      <c r="N55" s="394" t="s">
        <v>4697</v>
      </c>
      <c r="O55" s="395" t="s">
        <v>927</v>
      </c>
      <c r="P55" s="394" t="s">
        <v>852</v>
      </c>
      <c r="Q55" s="395" t="s">
        <v>853</v>
      </c>
      <c r="R55" s="396" t="s">
        <v>967</v>
      </c>
      <c r="S55" s="397" t="s">
        <v>968</v>
      </c>
      <c r="T55" s="393" t="s">
        <v>3732</v>
      </c>
      <c r="U55" s="392" t="s">
        <v>3733</v>
      </c>
      <c r="V55" s="402" t="s">
        <v>1534</v>
      </c>
      <c r="W55" s="403" t="s">
        <v>5879</v>
      </c>
      <c r="X55" s="396" t="s">
        <v>969</v>
      </c>
      <c r="Y55" s="397" t="s">
        <v>970</v>
      </c>
      <c r="Z55" s="393" t="s">
        <v>797</v>
      </c>
      <c r="AA55" s="393" t="s">
        <v>798</v>
      </c>
      <c r="AB55" s="389"/>
      <c r="AC55" s="389"/>
      <c r="AG55" s="389"/>
      <c r="AH55" s="389"/>
      <c r="AK55" s="389"/>
      <c r="AL55" s="389"/>
      <c r="AM55" s="389"/>
      <c r="AN55" s="389"/>
      <c r="AO55" s="390"/>
      <c r="BG55" s="15" t="s">
        <v>479</v>
      </c>
      <c r="BH55" s="15">
        <v>9</v>
      </c>
      <c r="BI55" s="15">
        <v>10</v>
      </c>
      <c r="BJ55" s="15">
        <v>47</v>
      </c>
      <c r="BK55" s="15" cm="1">
        <f t="array" ref="BK55">_xlfn.IFS($AI$6&gt;=18,56,$AI$6&gt;=15,55,$AI$6&gt;=10,54,$AI$6&gt;=7,53,$AI$6&gt;=3,52,1,0)</f>
        <v>0</v>
      </c>
      <c r="BM55" s="16">
        <f>IFERROR(IF(BM54+1&gt;BQ2,IF(BM54+1&gt;BQ2,IF(BP3+BP54&gt;BQ3,"",BP3+BP54)),BM54+1),"")</f>
        <v>50</v>
      </c>
      <c r="BN55" s="16" t="str">
        <f>IFERROR(INDEX(B30:AO180,BM55,BN2),"")</f>
        <v/>
      </c>
      <c r="BO55" s="16" t="str">
        <f>IFERROR(INDEX(B30:AO180,BM55,BO2),"")</f>
        <v/>
      </c>
      <c r="BP55" s="16">
        <f>IFERROR(IF(BM54+1&gt;BQ2,BP54+1,0),"")</f>
        <v>0</v>
      </c>
      <c r="BS55" s="412" t="str">
        <f t="shared" si="1"/>
        <v/>
      </c>
      <c r="BT55" s="413" t="str" cm="1">
        <f t="array" ref="BT55">INDEX(BS:BS,SMALL(IF($BS$2:$BS$101&lt;&gt;"",ROW($BS$2:$BS$101),142),ROW(BS54)))&amp;""</f>
        <v/>
      </c>
      <c r="BU55" s="16" t="str">
        <f>IF(主要!AX64="","",主要!AX64)</f>
        <v/>
      </c>
      <c r="BV55" s="16" t="str">
        <f t="shared" si="2"/>
        <v/>
      </c>
    </row>
    <row r="56" spans="1:74" ht="16.5" customHeight="1">
      <c r="A56" s="233">
        <v>27</v>
      </c>
      <c r="B56" s="399" t="s">
        <v>955</v>
      </c>
      <c r="C56" s="397" t="s">
        <v>5689</v>
      </c>
      <c r="D56" s="400" t="s">
        <v>884</v>
      </c>
      <c r="E56" s="397" t="s">
        <v>956</v>
      </c>
      <c r="F56" s="396" t="s">
        <v>884</v>
      </c>
      <c r="G56" s="397" t="s">
        <v>940</v>
      </c>
      <c r="H56" s="396" t="s">
        <v>959</v>
      </c>
      <c r="I56" s="397" t="s">
        <v>960</v>
      </c>
      <c r="J56" s="396" t="s">
        <v>4590</v>
      </c>
      <c r="K56" s="397" t="s">
        <v>5629</v>
      </c>
      <c r="L56" s="393" t="s">
        <v>767</v>
      </c>
      <c r="M56" s="392" t="s">
        <v>926</v>
      </c>
      <c r="N56" s="394" t="s">
        <v>944</v>
      </c>
      <c r="O56" s="395" t="s">
        <v>945</v>
      </c>
      <c r="P56" s="394" t="s">
        <v>873</v>
      </c>
      <c r="Q56" s="395" t="s">
        <v>874</v>
      </c>
      <c r="R56" s="396" t="s">
        <v>983</v>
      </c>
      <c r="S56" s="397" t="s">
        <v>984</v>
      </c>
      <c r="T56" s="393" t="s">
        <v>3730</v>
      </c>
      <c r="U56" s="392" t="s">
        <v>3731</v>
      </c>
      <c r="V56" s="406" t="s">
        <v>3737</v>
      </c>
      <c r="W56" s="407" t="s">
        <v>5887</v>
      </c>
      <c r="X56" s="396" t="s">
        <v>987</v>
      </c>
      <c r="Y56" s="397" t="s">
        <v>988</v>
      </c>
      <c r="Z56" s="393" t="s">
        <v>632</v>
      </c>
      <c r="AA56" s="393" t="s">
        <v>710</v>
      </c>
      <c r="AB56" s="389"/>
      <c r="AC56" s="389"/>
      <c r="AG56" s="389"/>
      <c r="AH56" s="389"/>
      <c r="AK56" s="389"/>
      <c r="AL56" s="389"/>
      <c r="AM56" s="389"/>
      <c r="AN56" s="389"/>
      <c r="AO56" s="390"/>
      <c r="BG56" s="15" t="s">
        <v>480</v>
      </c>
      <c r="BH56" s="15">
        <v>9</v>
      </c>
      <c r="BI56" s="15">
        <v>10</v>
      </c>
      <c r="BJ56" s="15">
        <v>57</v>
      </c>
      <c r="BK56" s="15" cm="1">
        <f t="array" ref="BK56">_xlfn.IFS($AI$6&gt;=15,69,$AI$6&gt;=10,68,$AI$6&gt;=7,67,$AI$6&gt;=3,66,1,0)</f>
        <v>0</v>
      </c>
      <c r="BM56" s="16">
        <f>IFERROR(IF(BM55+1&gt;BQ2,IF(BM55+1&gt;BQ2,IF(BP3+BP55&gt;BQ3,"",BP3+BP55)),BM55+1),"")</f>
        <v>51</v>
      </c>
      <c r="BN56" s="16" t="str">
        <f>IFERROR(INDEX(B30:AO180,BM56,BN2),"")</f>
        <v/>
      </c>
      <c r="BO56" s="16" t="str">
        <f>IFERROR(INDEX(B30:AO180,BM56,BO2),"")</f>
        <v/>
      </c>
      <c r="BP56" s="16">
        <f>IFERROR(IF(BM55+1&gt;BQ2,BP55+1,0),"")</f>
        <v>0</v>
      </c>
      <c r="BS56" s="412" t="str">
        <f t="shared" si="1"/>
        <v/>
      </c>
      <c r="BT56" s="413" t="str" cm="1">
        <f t="array" ref="BT56">INDEX(BS:BS,SMALL(IF($BS$2:$BS$101&lt;&gt;"",ROW($BS$2:$BS$101),142),ROW(BS55)))&amp;""</f>
        <v/>
      </c>
      <c r="BU56" s="16" t="str">
        <f>IF(主要!AX65="","",主要!AX65)</f>
        <v/>
      </c>
      <c r="BV56" s="16" t="str">
        <f t="shared" si="2"/>
        <v/>
      </c>
    </row>
    <row r="57" spans="1:74" ht="16.5" customHeight="1">
      <c r="A57" s="233">
        <v>28</v>
      </c>
      <c r="B57" s="399" t="s">
        <v>972</v>
      </c>
      <c r="C57" s="397" t="s">
        <v>4568</v>
      </c>
      <c r="D57" s="396" t="s">
        <v>973</v>
      </c>
      <c r="E57" s="397" t="s">
        <v>5736</v>
      </c>
      <c r="F57" s="396" t="s">
        <v>957</v>
      </c>
      <c r="G57" s="397" t="s">
        <v>958</v>
      </c>
      <c r="H57" s="396" t="s">
        <v>975</v>
      </c>
      <c r="I57" s="397" t="s">
        <v>976</v>
      </c>
      <c r="J57" s="396" t="s">
        <v>4591</v>
      </c>
      <c r="K57" s="397" t="s">
        <v>5630</v>
      </c>
      <c r="L57" s="393" t="s">
        <v>942</v>
      </c>
      <c r="M57" s="392" t="s">
        <v>943</v>
      </c>
      <c r="N57" s="394" t="s">
        <v>963</v>
      </c>
      <c r="O57" s="395" t="s">
        <v>964</v>
      </c>
      <c r="P57" s="394" t="s">
        <v>895</v>
      </c>
      <c r="Q57" s="395" t="s">
        <v>896</v>
      </c>
      <c r="R57" s="394" t="s">
        <v>551</v>
      </c>
      <c r="S57" s="395" t="s">
        <v>1001</v>
      </c>
      <c r="T57" s="393" t="s">
        <v>632</v>
      </c>
      <c r="U57" s="392" t="s">
        <v>730</v>
      </c>
      <c r="V57" s="393" t="s">
        <v>694</v>
      </c>
      <c r="W57" s="392" t="s">
        <v>695</v>
      </c>
      <c r="X57" s="396" t="s">
        <v>1004</v>
      </c>
      <c r="Y57" s="397" t="s">
        <v>1005</v>
      </c>
      <c r="Z57" s="393" t="s">
        <v>837</v>
      </c>
      <c r="AA57" s="393" t="s">
        <v>838</v>
      </c>
      <c r="AB57" s="389"/>
      <c r="AC57" s="389"/>
      <c r="AF57" s="389"/>
      <c r="AG57" s="389"/>
      <c r="AH57" s="389"/>
      <c r="AK57" s="389"/>
      <c r="AL57" s="389"/>
      <c r="AM57" s="389"/>
      <c r="AN57" s="389"/>
      <c r="AO57" s="390"/>
      <c r="BG57" s="15" t="s">
        <v>481</v>
      </c>
      <c r="BH57" s="15">
        <v>9</v>
      </c>
      <c r="BI57" s="15">
        <v>10</v>
      </c>
      <c r="BJ57" s="15">
        <v>70</v>
      </c>
      <c r="BK57" s="15" cm="1">
        <f t="array" ref="BK57">_xlfn.IFS($AI$6&gt;=18,76,$AI$6&gt;=15,75,$AI$6&gt;=10,74,$AI$6&gt;=7,73,$AI$6&gt;=3,72,1,0)</f>
        <v>0</v>
      </c>
      <c r="BM57" s="16">
        <f>IFERROR(IF(BM56+1&gt;BQ2,IF(BM56+1&gt;BQ2,IF(BP3+BP56&gt;BQ3,"",BP3+BP56)),BM56+1),"")</f>
        <v>52</v>
      </c>
      <c r="BN57" s="16" t="str">
        <f>IFERROR(INDEX(B30:AO180,BM57,BN2),"")</f>
        <v/>
      </c>
      <c r="BO57" s="16" t="str">
        <f>IFERROR(INDEX(B30:AO180,BM57,BO2),"")</f>
        <v/>
      </c>
      <c r="BP57" s="16">
        <f>IFERROR(IF(BM56+1&gt;BQ2,BP56+1,0),"")</f>
        <v>0</v>
      </c>
      <c r="BS57" s="412" t="str">
        <f t="shared" si="1"/>
        <v/>
      </c>
      <c r="BT57" s="413" t="str" cm="1">
        <f t="array" ref="BT57">INDEX(BS:BS,SMALL(IF($BS$2:$BS$101&lt;&gt;"",ROW($BS$2:$BS$101),142),ROW(BS56)))&amp;""</f>
        <v/>
      </c>
      <c r="BU57" s="16" t="str">
        <f>IF(主要!AX66="","",主要!AX66)</f>
        <v/>
      </c>
      <c r="BV57" s="16" t="str">
        <f t="shared" si="2"/>
        <v/>
      </c>
    </row>
    <row r="58" spans="1:74" ht="16.5" customHeight="1">
      <c r="A58" s="233">
        <v>29</v>
      </c>
      <c r="B58" s="398" t="s">
        <v>990</v>
      </c>
      <c r="C58" s="395" t="s">
        <v>5691</v>
      </c>
      <c r="D58" s="396" t="s">
        <v>647</v>
      </c>
      <c r="E58" s="397" t="s">
        <v>991</v>
      </c>
      <c r="F58" s="396" t="s">
        <v>974</v>
      </c>
      <c r="G58" s="397" t="s">
        <v>5773</v>
      </c>
      <c r="H58" s="396" t="s">
        <v>994</v>
      </c>
      <c r="I58" s="397" t="s">
        <v>995</v>
      </c>
      <c r="J58" s="396" t="s">
        <v>4592</v>
      </c>
      <c r="K58" s="397" t="s">
        <v>5631</v>
      </c>
      <c r="L58" s="393" t="s">
        <v>961</v>
      </c>
      <c r="M58" s="392" t="s">
        <v>962</v>
      </c>
      <c r="N58" s="394" t="s">
        <v>979</v>
      </c>
      <c r="O58" s="395" t="s">
        <v>980</v>
      </c>
      <c r="P58" s="394" t="s">
        <v>912</v>
      </c>
      <c r="Q58" s="395" t="s">
        <v>913</v>
      </c>
      <c r="R58" s="394" t="s">
        <v>135</v>
      </c>
      <c r="S58" s="395" t="s">
        <v>1018</v>
      </c>
      <c r="T58" s="393" t="s">
        <v>3728</v>
      </c>
      <c r="U58" s="392" t="s">
        <v>3729</v>
      </c>
      <c r="V58" s="393" t="s">
        <v>715</v>
      </c>
      <c r="W58" s="392" t="s">
        <v>716</v>
      </c>
      <c r="X58" s="394" t="s">
        <v>1021</v>
      </c>
      <c r="Y58" s="395" t="s">
        <v>1022</v>
      </c>
      <c r="Z58" s="394" t="s">
        <v>1023</v>
      </c>
      <c r="AA58" s="394" t="s">
        <v>5907</v>
      </c>
      <c r="AB58" s="389"/>
      <c r="AF58" s="389"/>
      <c r="AG58" s="389"/>
      <c r="AH58" s="389"/>
      <c r="AK58" s="389"/>
      <c r="AL58" s="389"/>
      <c r="AM58" s="389"/>
      <c r="AN58" s="389"/>
      <c r="AO58" s="390"/>
      <c r="BG58" s="15" t="s">
        <v>482</v>
      </c>
      <c r="BH58" s="15">
        <v>9</v>
      </c>
      <c r="BI58" s="15">
        <v>10</v>
      </c>
      <c r="BJ58" s="15">
        <v>77</v>
      </c>
      <c r="BK58" s="15" cm="1">
        <f t="array" ref="BK58">_xlfn.IFS($AI$6&gt;=18,82,$AI$6&gt;=15,81,$AI$6&gt;=10,80,$AI$6&gt;=7,79,$AI$6&gt;=3,78,1,0)</f>
        <v>0</v>
      </c>
      <c r="BM58" s="16">
        <f>IFERROR(IF(BM57+1&gt;BQ2,IF(BM57+1&gt;BQ2,IF(BP3+BP57&gt;BQ3,"",BP3+BP57)),BM57+1),"")</f>
        <v>53</v>
      </c>
      <c r="BN58" s="16" t="str">
        <f>IFERROR(INDEX(B30:AO180,BM58,BN2),"")</f>
        <v/>
      </c>
      <c r="BO58" s="16" t="str">
        <f>IFERROR(INDEX(B30:AO180,BM58,BO2),"")</f>
        <v/>
      </c>
      <c r="BP58" s="16">
        <f>IFERROR(IF(BM57+1&gt;BQ2,BP57+1,0),"")</f>
        <v>0</v>
      </c>
      <c r="BS58" s="412" t="str">
        <f t="shared" si="1"/>
        <v/>
      </c>
      <c r="BT58" s="413" t="str" cm="1">
        <f t="array" ref="BT58">INDEX(BS:BS,SMALL(IF($BS$2:$BS$101&lt;&gt;"",ROW($BS$2:$BS$101),142),ROW(BS57)))&amp;""</f>
        <v/>
      </c>
      <c r="BU58" s="16" t="str">
        <f>IF(主要!AX67="","",主要!AX67)</f>
        <v/>
      </c>
      <c r="BV58" s="16" t="str">
        <f t="shared" si="2"/>
        <v/>
      </c>
    </row>
    <row r="59" spans="1:74" ht="16.5" customHeight="1">
      <c r="A59" s="233">
        <v>30</v>
      </c>
      <c r="B59" s="398" t="s">
        <v>1007</v>
      </c>
      <c r="C59" s="395" t="s">
        <v>5692</v>
      </c>
      <c r="D59" s="396" t="s">
        <v>1008</v>
      </c>
      <c r="E59" s="397" t="s">
        <v>1009</v>
      </c>
      <c r="F59" s="396" t="s">
        <v>992</v>
      </c>
      <c r="G59" s="397" t="s">
        <v>993</v>
      </c>
      <c r="H59" s="396" t="s">
        <v>1011</v>
      </c>
      <c r="I59" s="397" t="s">
        <v>1012</v>
      </c>
      <c r="J59" s="396" t="s">
        <v>4593</v>
      </c>
      <c r="K59" s="397" t="s">
        <v>5632</v>
      </c>
      <c r="L59" s="394" t="s">
        <v>977</v>
      </c>
      <c r="M59" s="395" t="s">
        <v>978</v>
      </c>
      <c r="N59" s="396" t="s">
        <v>4698</v>
      </c>
      <c r="O59" s="397" t="s">
        <v>998</v>
      </c>
      <c r="P59" s="396" t="s">
        <v>928</v>
      </c>
      <c r="Q59" s="397" t="s">
        <v>929</v>
      </c>
      <c r="R59" s="394" t="s">
        <v>104</v>
      </c>
      <c r="S59" s="395" t="s">
        <v>1034</v>
      </c>
      <c r="T59" s="393" t="s">
        <v>985</v>
      </c>
      <c r="U59" s="392" t="s">
        <v>986</v>
      </c>
      <c r="V59" s="393" t="s">
        <v>737</v>
      </c>
      <c r="W59" s="392" t="s">
        <v>738</v>
      </c>
      <c r="X59" s="394" t="s">
        <v>1037</v>
      </c>
      <c r="Y59" s="395" t="s">
        <v>1038</v>
      </c>
      <c r="Z59" s="394" t="s">
        <v>1141</v>
      </c>
      <c r="AA59" s="394" t="s">
        <v>5910</v>
      </c>
      <c r="AB59" s="389"/>
      <c r="AF59" s="389"/>
      <c r="AG59" s="389"/>
      <c r="AH59" s="389"/>
      <c r="AK59" s="389"/>
      <c r="AL59" s="389"/>
      <c r="AM59" s="389"/>
      <c r="AN59" s="389"/>
      <c r="AO59" s="390"/>
      <c r="BG59" s="15" t="s">
        <v>483</v>
      </c>
      <c r="BH59" s="15">
        <v>9</v>
      </c>
      <c r="BI59" s="15">
        <v>10</v>
      </c>
      <c r="BJ59" s="15">
        <v>83</v>
      </c>
      <c r="BK59" s="15" cm="1">
        <f t="array" ref="BK59">_xlfn.IFS($AI$6&gt;=15,87,$AI$6&gt;=10,86,$AI$6&gt;=7,85,$AI$6&gt;=3,84,1,0)</f>
        <v>0</v>
      </c>
      <c r="BM59" s="16">
        <f>IFERROR(IF(BM58+1&gt;BQ2,IF(BM58+1&gt;BQ2,IF(BP3+BP58&gt;BQ3,"",BP3+BP58)),BM58+1),"")</f>
        <v>54</v>
      </c>
      <c r="BN59" s="16" t="str">
        <f>IFERROR(INDEX(B30:AO180,BM59,BN2),"")</f>
        <v/>
      </c>
      <c r="BO59" s="16" t="str">
        <f>IFERROR(INDEX(B30:AO180,BM59,BO2),"")</f>
        <v/>
      </c>
      <c r="BP59" s="16">
        <f>IFERROR(IF(BM58+1&gt;BQ2,BP58+1,0),"")</f>
        <v>0</v>
      </c>
      <c r="BS59" s="412" t="str">
        <f t="shared" si="1"/>
        <v/>
      </c>
      <c r="BT59" s="413" t="str" cm="1">
        <f t="array" ref="BT59">INDEX(BS:BS,SMALL(IF($BS$2:$BS$101&lt;&gt;"",ROW($BS$2:$BS$101),142),ROW(BS58)))&amp;""</f>
        <v/>
      </c>
      <c r="BU59" s="16" t="str">
        <f>IF(主要!AX68="","",主要!AX68)</f>
        <v/>
      </c>
      <c r="BV59" s="16" t="str">
        <f t="shared" si="2"/>
        <v/>
      </c>
    </row>
    <row r="60" spans="1:74" ht="16.5" customHeight="1">
      <c r="A60" s="233">
        <v>31</v>
      </c>
      <c r="B60" s="398" t="s">
        <v>5269</v>
      </c>
      <c r="C60" s="395" t="s">
        <v>5693</v>
      </c>
      <c r="D60" s="394" t="s">
        <v>1024</v>
      </c>
      <c r="E60" s="395" t="s">
        <v>5737</v>
      </c>
      <c r="F60" s="396" t="s">
        <v>1010</v>
      </c>
      <c r="G60" s="397" t="s">
        <v>5774</v>
      </c>
      <c r="H60" s="394" t="s">
        <v>1026</v>
      </c>
      <c r="I60" s="395" t="s">
        <v>1027</v>
      </c>
      <c r="J60" s="396" t="s">
        <v>4594</v>
      </c>
      <c r="K60" s="397" t="s">
        <v>5633</v>
      </c>
      <c r="L60" s="394" t="s">
        <v>996</v>
      </c>
      <c r="M60" s="395" t="s">
        <v>997</v>
      </c>
      <c r="N60" s="396" t="s">
        <v>4699</v>
      </c>
      <c r="O60" s="397" t="s">
        <v>1015</v>
      </c>
      <c r="P60" s="396" t="s">
        <v>4627</v>
      </c>
      <c r="Q60" s="397" t="s">
        <v>4628</v>
      </c>
      <c r="R60" s="394" t="s">
        <v>607</v>
      </c>
      <c r="S60" s="395" t="s">
        <v>1051</v>
      </c>
      <c r="T60" s="394" t="s">
        <v>1002</v>
      </c>
      <c r="U60" s="395" t="s">
        <v>1003</v>
      </c>
      <c r="V60" s="393" t="s">
        <v>759</v>
      </c>
      <c r="W60" s="392" t="s">
        <v>5603</v>
      </c>
      <c r="X60" s="394" t="s">
        <v>1054</v>
      </c>
      <c r="Y60" s="395" t="s">
        <v>1055</v>
      </c>
      <c r="Z60" s="394" t="s">
        <v>1191</v>
      </c>
      <c r="AA60" s="394" t="s">
        <v>5912</v>
      </c>
      <c r="AB60" s="389"/>
      <c r="AF60" s="389"/>
      <c r="AG60" s="389"/>
      <c r="AH60" s="389"/>
      <c r="AK60" s="389"/>
      <c r="AL60" s="389"/>
      <c r="AM60" s="389"/>
      <c r="AN60" s="389"/>
      <c r="AO60" s="390"/>
      <c r="BG60" s="15" t="s">
        <v>484</v>
      </c>
      <c r="BH60" s="15">
        <v>9</v>
      </c>
      <c r="BI60" s="15">
        <v>10</v>
      </c>
      <c r="BJ60" s="15">
        <v>88</v>
      </c>
      <c r="BK60" s="15" cm="1">
        <f t="array" ref="BK60">_xlfn.IFS($AI$6&gt;=18,93,$AI$6&gt;=15,92,$AI$6&gt;=10,91,$AI$6&gt;=7,90,$AI$6&gt;=3,89,1,0)</f>
        <v>0</v>
      </c>
      <c r="BM60" s="16">
        <f>IFERROR(IF(BM59+1&gt;BQ2,IF(BM59+1&gt;BQ2,IF(BP3+BP59&gt;BQ3,"",BP3+BP59)),BM59+1),"")</f>
        <v>55</v>
      </c>
      <c r="BN60" s="16" t="str">
        <f>IFERROR(INDEX(B30:AO180,BM60,BN2),"")</f>
        <v/>
      </c>
      <c r="BO60" s="16" t="str">
        <f>IFERROR(INDEX(B30:AO180,BM60,BO2),"")</f>
        <v/>
      </c>
      <c r="BP60" s="16">
        <f>IFERROR(IF(BM59+1&gt;BQ2,BP59+1,0),"")</f>
        <v>0</v>
      </c>
      <c r="BS60" s="412" t="str">
        <f t="shared" si="1"/>
        <v/>
      </c>
      <c r="BT60" s="413" t="str" cm="1">
        <f t="array" ref="BT60">INDEX(BS:BS,SMALL(IF($BS$2:$BS$101&lt;&gt;"",ROW($BS$2:$BS$101),142),ROW(BS59)))&amp;""</f>
        <v/>
      </c>
      <c r="BU60" s="16" t="str">
        <f>IF(主要!AX69="","",主要!AX69)</f>
        <v/>
      </c>
      <c r="BV60" s="16" t="str">
        <f t="shared" si="2"/>
        <v/>
      </c>
    </row>
    <row r="61" spans="1:74" ht="16.5" customHeight="1">
      <c r="A61" s="233">
        <v>32</v>
      </c>
      <c r="B61" s="398" t="s">
        <v>5268</v>
      </c>
      <c r="C61" s="395" t="s">
        <v>5694</v>
      </c>
      <c r="D61" s="394" t="s">
        <v>1040</v>
      </c>
      <c r="E61" s="395" t="s">
        <v>5738</v>
      </c>
      <c r="F61" s="396" t="s">
        <v>1025</v>
      </c>
      <c r="G61" s="397" t="s">
        <v>5775</v>
      </c>
      <c r="H61" s="394" t="s">
        <v>1043</v>
      </c>
      <c r="I61" s="395" t="s">
        <v>1044</v>
      </c>
      <c r="J61" s="396" t="s">
        <v>4595</v>
      </c>
      <c r="K61" s="397" t="s">
        <v>5634</v>
      </c>
      <c r="L61" s="394" t="s">
        <v>1013</v>
      </c>
      <c r="M61" s="395" t="s">
        <v>1014</v>
      </c>
      <c r="N61" s="396" t="s">
        <v>1030</v>
      </c>
      <c r="O61" s="397" t="s">
        <v>1031</v>
      </c>
      <c r="P61" s="396" t="s">
        <v>946</v>
      </c>
      <c r="Q61" s="397" t="s">
        <v>947</v>
      </c>
      <c r="R61" s="394" t="s">
        <v>609</v>
      </c>
      <c r="S61" s="395" t="s">
        <v>1069</v>
      </c>
      <c r="T61" s="394" t="s">
        <v>1019</v>
      </c>
      <c r="U61" s="395" t="s">
        <v>1020</v>
      </c>
      <c r="V61" s="393" t="s">
        <v>6067</v>
      </c>
      <c r="W61" s="392" t="s">
        <v>474</v>
      </c>
      <c r="X61" s="394" t="s">
        <v>1072</v>
      </c>
      <c r="Y61" s="395" t="s">
        <v>1073</v>
      </c>
      <c r="Z61" s="394" t="s">
        <v>5913</v>
      </c>
      <c r="AA61" s="394" t="s">
        <v>5914</v>
      </c>
      <c r="AB61" s="389"/>
      <c r="AF61" s="389"/>
      <c r="AG61" s="389"/>
      <c r="AH61" s="389"/>
      <c r="AI61" s="389"/>
      <c r="AJ61" s="389"/>
      <c r="AK61" s="389"/>
      <c r="AL61" s="389"/>
      <c r="AM61" s="389"/>
      <c r="AN61" s="389"/>
      <c r="AO61" s="390"/>
      <c r="BG61" s="15" t="s">
        <v>485</v>
      </c>
      <c r="BH61" s="15">
        <v>9</v>
      </c>
      <c r="BI61" s="15">
        <v>10</v>
      </c>
      <c r="BJ61" s="15">
        <v>94</v>
      </c>
      <c r="BK61" s="15" cm="1">
        <f t="array" ref="BK61">_xlfn.IFS($AI$6&gt;=18,106,$AI$6&gt;=15,105,$AI$6&gt;=10,104,$AI$6&gt;=7,103,$AI$6&gt;=3,100,1,0)</f>
        <v>0</v>
      </c>
      <c r="BM61" s="16">
        <f>IFERROR(IF(BM60+1&gt;BQ2,IF(BM60+1&gt;BQ2,IF(BP3+BP60&gt;BQ3,"",BP3+BP60)),BM60+1),"")</f>
        <v>56</v>
      </c>
      <c r="BN61" s="16" t="str">
        <f>IFERROR(INDEX(B30:AO180,BM61,BN2),"")</f>
        <v/>
      </c>
      <c r="BO61" s="16" t="str">
        <f>IFERROR(INDEX(B30:AO180,BM61,BO2),"")</f>
        <v/>
      </c>
      <c r="BP61" s="16">
        <f>IFERROR(IF(BM60+1&gt;BQ2,BP60+1,0),"")</f>
        <v>0</v>
      </c>
      <c r="BS61" s="412" t="str">
        <f t="shared" si="1"/>
        <v/>
      </c>
      <c r="BT61" s="413" t="str" cm="1">
        <f t="array" ref="BT61">INDEX(BS:BS,SMALL(IF($BS$2:$BS$101&lt;&gt;"",ROW($BS$2:$BS$101),142),ROW(BS60)))&amp;""</f>
        <v/>
      </c>
      <c r="BU61" s="16" t="str">
        <f>IF(主要!AX70="","",主要!AX70)</f>
        <v/>
      </c>
      <c r="BV61" s="16" t="str">
        <f t="shared" si="2"/>
        <v/>
      </c>
    </row>
    <row r="62" spans="1:74" ht="16.5" customHeight="1" thickBot="1">
      <c r="A62" s="233">
        <v>33</v>
      </c>
      <c r="B62" s="398" t="s">
        <v>1058</v>
      </c>
      <c r="C62" s="395" t="s">
        <v>5695</v>
      </c>
      <c r="D62" s="394" t="s">
        <v>1059</v>
      </c>
      <c r="E62" s="395" t="s">
        <v>5739</v>
      </c>
      <c r="F62" s="394" t="s">
        <v>1041</v>
      </c>
      <c r="G62" s="395" t="s">
        <v>1042</v>
      </c>
      <c r="H62" s="394" t="s">
        <v>1061</v>
      </c>
      <c r="I62" s="395" t="s">
        <v>1062</v>
      </c>
      <c r="J62" s="396" t="s">
        <v>4596</v>
      </c>
      <c r="K62" s="397" t="s">
        <v>5635</v>
      </c>
      <c r="L62" s="394" t="s">
        <v>1028</v>
      </c>
      <c r="M62" s="395" t="s">
        <v>1029</v>
      </c>
      <c r="N62" s="396" t="s">
        <v>1047</v>
      </c>
      <c r="O62" s="397" t="s">
        <v>1048</v>
      </c>
      <c r="P62" s="396" t="s">
        <v>965</v>
      </c>
      <c r="Q62" s="397" t="s">
        <v>966</v>
      </c>
      <c r="R62" s="394" t="s">
        <v>1086</v>
      </c>
      <c r="S62" s="395" t="s">
        <v>1087</v>
      </c>
      <c r="T62" s="394" t="s">
        <v>1035</v>
      </c>
      <c r="U62" s="395" t="s">
        <v>1036</v>
      </c>
      <c r="V62" s="388" t="s">
        <v>3643</v>
      </c>
      <c r="W62" s="387" t="s">
        <v>5845</v>
      </c>
      <c r="X62" s="394" t="s">
        <v>1090</v>
      </c>
      <c r="Y62" s="395" t="s">
        <v>1091</v>
      </c>
      <c r="Z62" s="394" t="s">
        <v>1242</v>
      </c>
      <c r="AA62" s="394" t="s">
        <v>5916</v>
      </c>
      <c r="AB62" s="389"/>
      <c r="AE62" s="389"/>
      <c r="AF62" s="389"/>
      <c r="AG62" s="389"/>
      <c r="AH62" s="389"/>
      <c r="AI62" s="389"/>
      <c r="AJ62" s="389"/>
      <c r="AK62" s="389"/>
      <c r="AL62" s="389"/>
      <c r="AM62" s="389"/>
      <c r="AN62" s="389"/>
      <c r="AO62" s="390"/>
      <c r="BG62" s="15" t="s">
        <v>486</v>
      </c>
      <c r="BH62" s="15">
        <v>9</v>
      </c>
      <c r="BI62" s="15">
        <v>10</v>
      </c>
      <c r="BJ62" s="15">
        <v>107</v>
      </c>
      <c r="BK62" s="15" cm="1">
        <f t="array" ref="BK62">_xlfn.IFS($AI$6&gt;=18,111,$AI$6&gt;=15,110,$AI$6&gt;=10,109,$AI$6&gt;=7,108,$AI$6&gt;=3,107,1,0)</f>
        <v>0</v>
      </c>
      <c r="BM62" s="16">
        <f>IFERROR(IF(BM61+1&gt;BQ2,IF(BM61+1&gt;BQ2,IF(BP3+BP61&gt;BQ3,"",BP3+BP61)),BM61+1),"")</f>
        <v>57</v>
      </c>
      <c r="BN62" s="16" t="str">
        <f>IFERROR(INDEX(B30:AO180,BM62,BN2),"")</f>
        <v/>
      </c>
      <c r="BO62" s="16" t="str">
        <f>IFERROR(INDEX(B30:AO180,BM62,BO2),"")</f>
        <v/>
      </c>
      <c r="BP62" s="16">
        <f>IFERROR(IF(BM61+1&gt;BQ2,BP61+1,0),"")</f>
        <v>0</v>
      </c>
      <c r="BS62" s="412" t="str">
        <f t="shared" si="1"/>
        <v/>
      </c>
      <c r="BT62" s="413" t="str" cm="1">
        <f t="array" ref="BT62">INDEX(BS:BS,SMALL(IF($BS$2:$BS$101&lt;&gt;"",ROW($BS$2:$BS$101),142),ROW(BS61)))&amp;""</f>
        <v/>
      </c>
      <c r="BU62" s="16" t="str">
        <f>IF(主要!AX71="","",主要!AX71)</f>
        <v/>
      </c>
      <c r="BV62" s="16" t="str">
        <f t="shared" si="2"/>
        <v/>
      </c>
    </row>
    <row r="63" spans="1:74" ht="16.5" customHeight="1" thickTop="1">
      <c r="A63" s="233">
        <v>34</v>
      </c>
      <c r="B63" s="399" t="s">
        <v>1076</v>
      </c>
      <c r="C63" s="397" t="s">
        <v>5696</v>
      </c>
      <c r="D63" s="394" t="s">
        <v>1077</v>
      </c>
      <c r="E63" s="395" t="s">
        <v>5740</v>
      </c>
      <c r="F63" s="394" t="s">
        <v>823</v>
      </c>
      <c r="G63" s="395" t="s">
        <v>1060</v>
      </c>
      <c r="H63" s="394" t="s">
        <v>1079</v>
      </c>
      <c r="I63" s="395" t="s">
        <v>1080</v>
      </c>
      <c r="J63" s="396" t="s">
        <v>4597</v>
      </c>
      <c r="K63" s="397" t="s">
        <v>5636</v>
      </c>
      <c r="L63" s="396" t="s">
        <v>1045</v>
      </c>
      <c r="M63" s="397" t="s">
        <v>1046</v>
      </c>
      <c r="N63" s="396" t="s">
        <v>1065</v>
      </c>
      <c r="O63" s="397" t="s">
        <v>1066</v>
      </c>
      <c r="P63" s="396" t="s">
        <v>981</v>
      </c>
      <c r="Q63" s="397" t="s">
        <v>982</v>
      </c>
      <c r="R63" s="394" t="s">
        <v>1103</v>
      </c>
      <c r="S63" s="395" t="s">
        <v>1104</v>
      </c>
      <c r="T63" s="394" t="s">
        <v>1052</v>
      </c>
      <c r="U63" s="395" t="s">
        <v>1053</v>
      </c>
      <c r="V63" s="388" t="s">
        <v>3666</v>
      </c>
      <c r="W63" s="387" t="s">
        <v>5868</v>
      </c>
      <c r="X63" s="396" t="s">
        <v>1107</v>
      </c>
      <c r="Y63" s="397" t="s">
        <v>1108</v>
      </c>
      <c r="Z63" s="393" t="s">
        <v>859</v>
      </c>
      <c r="AA63" s="393" t="s">
        <v>860</v>
      </c>
      <c r="AB63" s="389"/>
      <c r="AE63" s="389"/>
      <c r="AF63" s="389"/>
      <c r="AG63" s="389"/>
      <c r="AH63" s="389"/>
      <c r="AI63" s="389"/>
      <c r="AJ63" s="389"/>
      <c r="AK63" s="389"/>
      <c r="AL63" s="389"/>
      <c r="AM63" s="389"/>
      <c r="AN63" s="389"/>
      <c r="AO63" s="390"/>
      <c r="BG63" s="235" t="s">
        <v>487</v>
      </c>
      <c r="BH63" s="235">
        <v>11</v>
      </c>
      <c r="BI63" s="235">
        <v>12</v>
      </c>
      <c r="BJ63" s="235">
        <v>30</v>
      </c>
      <c r="BK63" s="235" cm="1">
        <f t="array" ref="BK63">_xlfn.IFS($AI$7&gt;=17,33,$AI$7&gt;=11,32,$AI$7&gt;=6,31,$AI$7&gt;=3,30,1,0)</f>
        <v>0</v>
      </c>
      <c r="BM63" s="16">
        <f>IFERROR(IF(BM62+1&gt;BQ2,IF(BM62+1&gt;BQ2,IF(BP3+BP62&gt;BQ3,"",BP3+BP62)),BM62+1),"")</f>
        <v>58</v>
      </c>
      <c r="BN63" s="16" t="str">
        <f>IFERROR(INDEX(B30:AO180,BM63,BN2),"")</f>
        <v/>
      </c>
      <c r="BO63" s="16" t="str">
        <f>IFERROR(INDEX(B30:AO180,BM63,BO2),"")</f>
        <v/>
      </c>
      <c r="BP63" s="16">
        <f>IFERROR(IF(BM62+1&gt;BQ2,BP62+1,0),"")</f>
        <v>0</v>
      </c>
      <c r="BS63" s="412" t="str">
        <f t="shared" si="1"/>
        <v/>
      </c>
      <c r="BT63" s="413" t="str" cm="1">
        <f t="array" ref="BT63">INDEX(BS:BS,SMALL(IF($BS$2:$BS$101&lt;&gt;"",ROW($BS$2:$BS$101),142),ROW(BS62)))&amp;""</f>
        <v/>
      </c>
      <c r="BU63" s="16" t="str">
        <f>IF(主要!AX72="","",主要!AX72)</f>
        <v/>
      </c>
      <c r="BV63" s="16" t="str">
        <f t="shared" si="2"/>
        <v/>
      </c>
    </row>
    <row r="64" spans="1:74" ht="16.5" customHeight="1">
      <c r="A64" s="233">
        <v>35</v>
      </c>
      <c r="B64" s="399" t="s">
        <v>1094</v>
      </c>
      <c r="C64" s="397" t="s">
        <v>5697</v>
      </c>
      <c r="D64" s="400" t="s">
        <v>884</v>
      </c>
      <c r="E64" s="401" t="s">
        <v>5741</v>
      </c>
      <c r="F64" s="394" t="s">
        <v>1078</v>
      </c>
      <c r="G64" s="395" t="s">
        <v>5776</v>
      </c>
      <c r="H64" s="400" t="s">
        <v>1096</v>
      </c>
      <c r="I64" s="401" t="s">
        <v>1097</v>
      </c>
      <c r="J64" s="396" t="s">
        <v>4598</v>
      </c>
      <c r="K64" s="397" t="s">
        <v>5637</v>
      </c>
      <c r="L64" s="396" t="s">
        <v>1063</v>
      </c>
      <c r="M64" s="397" t="s">
        <v>1064</v>
      </c>
      <c r="N64" s="394" t="s">
        <v>4700</v>
      </c>
      <c r="O64" s="395" t="s">
        <v>1083</v>
      </c>
      <c r="P64" s="394" t="s">
        <v>999</v>
      </c>
      <c r="Q64" s="395" t="s">
        <v>1000</v>
      </c>
      <c r="R64" s="394" t="s">
        <v>1120</v>
      </c>
      <c r="S64" s="395" t="s">
        <v>1121</v>
      </c>
      <c r="T64" s="394" t="s">
        <v>1070</v>
      </c>
      <c r="U64" s="395" t="s">
        <v>1071</v>
      </c>
      <c r="V64" s="402" t="s">
        <v>1396</v>
      </c>
      <c r="W64" s="403" t="s">
        <v>5872</v>
      </c>
      <c r="X64" s="396" t="s">
        <v>1124</v>
      </c>
      <c r="Y64" s="397" t="s">
        <v>1125</v>
      </c>
      <c r="Z64" s="393" t="s">
        <v>880</v>
      </c>
      <c r="AA64" s="393" t="s">
        <v>881</v>
      </c>
      <c r="AB64" s="389"/>
      <c r="AE64" s="389"/>
      <c r="AF64" s="389"/>
      <c r="AG64" s="389"/>
      <c r="AH64" s="389"/>
      <c r="AI64" s="389"/>
      <c r="AJ64" s="389"/>
      <c r="AK64" s="389"/>
      <c r="AL64" s="389"/>
      <c r="AM64" s="389"/>
      <c r="AN64" s="389"/>
      <c r="AO64" s="390"/>
      <c r="BG64" s="15" t="s">
        <v>488</v>
      </c>
      <c r="BH64" s="15">
        <v>11</v>
      </c>
      <c r="BI64" s="15">
        <v>12</v>
      </c>
      <c r="BJ64" s="15">
        <v>34</v>
      </c>
      <c r="BK64" s="15" cm="1">
        <f t="array" ref="BK64">_xlfn.IFS($AI$7&gt;=17,37,$AI$7&gt;=11,36,$AI$7&gt;=6,35,$AI$7&gt;=3,34,1,0)</f>
        <v>0</v>
      </c>
      <c r="BM64" s="16">
        <f>IFERROR(IF(BM63+1&gt;BQ2,IF(BM63+1&gt;BQ2,IF(BP3+BP63&gt;BQ3,"",BP3+BP63)),BM63+1),"")</f>
        <v>59</v>
      </c>
      <c r="BN64" s="16" t="str">
        <f>IFERROR(INDEX(B30:AO180,BM64,BN2),"")</f>
        <v/>
      </c>
      <c r="BO64" s="16" t="str">
        <f>IFERROR(INDEX(B30:AO180,BM64,BO2),"")</f>
        <v/>
      </c>
      <c r="BP64" s="16">
        <f>IFERROR(IF(BM63+1&gt;BQ2,BP63+1,0),"")</f>
        <v>0</v>
      </c>
      <c r="BS64" s="412" t="str">
        <f t="shared" si="1"/>
        <v/>
      </c>
      <c r="BT64" s="413" t="str" cm="1">
        <f t="array" ref="BT64">INDEX(BS:BS,SMALL(IF($BS$2:$BS$101&lt;&gt;"",ROW($BS$2:$BS$101),142),ROW(BS63)))&amp;""</f>
        <v/>
      </c>
      <c r="BU64" s="16" t="str">
        <f>IF(主要!AX73="","",主要!AX73)</f>
        <v/>
      </c>
      <c r="BV64" s="16" t="str">
        <f t="shared" si="2"/>
        <v/>
      </c>
    </row>
    <row r="65" spans="1:74" ht="16.5" customHeight="1">
      <c r="A65" s="233">
        <v>36</v>
      </c>
      <c r="B65" s="399" t="s">
        <v>1110</v>
      </c>
      <c r="C65" s="397" t="s">
        <v>5698</v>
      </c>
      <c r="D65" s="400" t="s">
        <v>556</v>
      </c>
      <c r="E65" s="401" t="s">
        <v>5742</v>
      </c>
      <c r="F65" s="394" t="s">
        <v>1095</v>
      </c>
      <c r="G65" s="395" t="s">
        <v>5777</v>
      </c>
      <c r="H65" s="400" t="s">
        <v>1113</v>
      </c>
      <c r="I65" s="401" t="s">
        <v>1114</v>
      </c>
      <c r="J65" s="396" t="s">
        <v>4599</v>
      </c>
      <c r="K65" s="397" t="s">
        <v>5638</v>
      </c>
      <c r="L65" s="396" t="s">
        <v>1081</v>
      </c>
      <c r="M65" s="397" t="s">
        <v>1082</v>
      </c>
      <c r="N65" s="394" t="s">
        <v>4701</v>
      </c>
      <c r="O65" s="395" t="s">
        <v>1100</v>
      </c>
      <c r="P65" s="394" t="s">
        <v>1016</v>
      </c>
      <c r="Q65" s="395" t="s">
        <v>1017</v>
      </c>
      <c r="R65" s="394" t="s">
        <v>1135</v>
      </c>
      <c r="S65" s="395" t="s">
        <v>1136</v>
      </c>
      <c r="T65" s="396" t="s">
        <v>1088</v>
      </c>
      <c r="U65" s="397" t="s">
        <v>1089</v>
      </c>
      <c r="V65" s="402" t="s">
        <v>1487</v>
      </c>
      <c r="W65" s="403" t="s">
        <v>5876</v>
      </c>
      <c r="X65" s="396" t="s">
        <v>1139</v>
      </c>
      <c r="Y65" s="397" t="s">
        <v>1140</v>
      </c>
      <c r="Z65" s="394" t="s">
        <v>1109</v>
      </c>
      <c r="AA65" s="394" t="s">
        <v>5908</v>
      </c>
      <c r="AB65" s="389"/>
      <c r="AE65" s="389"/>
      <c r="AF65" s="389"/>
      <c r="AG65" s="389"/>
      <c r="AH65" s="389"/>
      <c r="AI65" s="389"/>
      <c r="AJ65" s="389"/>
      <c r="AK65" s="389"/>
      <c r="AL65" s="389"/>
      <c r="AM65" s="389"/>
      <c r="AN65" s="389"/>
      <c r="AO65" s="390"/>
      <c r="BG65" s="15" t="s">
        <v>489</v>
      </c>
      <c r="BH65" s="15">
        <v>11</v>
      </c>
      <c r="BI65" s="15">
        <v>12</v>
      </c>
      <c r="BJ65" s="15">
        <v>38</v>
      </c>
      <c r="BK65" s="15" cm="1">
        <f t="array" ref="BK65">_xlfn.IFS($AI$7&gt;=17,55,$AI$7&gt;=11,52,$AI$7&gt;=6,48,$AI$7&gt;=3,46,1,0)</f>
        <v>0</v>
      </c>
      <c r="BM65" s="16">
        <f>IFERROR(IF(BM64+1&gt;BQ2,IF(BM64+1&gt;BQ2,IF(BP3+BP64&gt;BQ3,"",BP3+BP64)),BM64+1),"")</f>
        <v>60</v>
      </c>
      <c r="BN65" s="16" t="str">
        <f>IFERROR(INDEX(B30:AO180,BM65,BN2),"")</f>
        <v/>
      </c>
      <c r="BO65" s="16" t="str">
        <f>IFERROR(INDEX(B30:AO180,BM65,BO2),"")</f>
        <v/>
      </c>
      <c r="BP65" s="16">
        <f>IFERROR(IF(BM64+1&gt;BQ2,BP64+1,0),"")</f>
        <v>0</v>
      </c>
      <c r="BS65" s="412" t="str">
        <f t="shared" si="1"/>
        <v/>
      </c>
      <c r="BT65" s="413" t="str" cm="1">
        <f t="array" ref="BT65">INDEX(BS:BS,SMALL(IF($BS$2:$BS$101&lt;&gt;"",ROW($BS$2:$BS$101),142),ROW(BS64)))&amp;""</f>
        <v/>
      </c>
      <c r="BU65" s="16" t="str">
        <f>IF(主要!AX74="","",主要!AX74)</f>
        <v/>
      </c>
      <c r="BV65" s="16" t="str">
        <f t="shared" si="2"/>
        <v/>
      </c>
    </row>
    <row r="66" spans="1:74" ht="16.5" customHeight="1">
      <c r="A66" s="233">
        <v>37</v>
      </c>
      <c r="B66" s="399" t="s">
        <v>1127</v>
      </c>
      <c r="C66" s="397" t="s">
        <v>5699</v>
      </c>
      <c r="D66" s="400" t="s">
        <v>1128</v>
      </c>
      <c r="E66" s="401" t="s">
        <v>5743</v>
      </c>
      <c r="F66" s="394" t="s">
        <v>1111</v>
      </c>
      <c r="G66" s="395" t="s">
        <v>1112</v>
      </c>
      <c r="H66" s="400" t="s">
        <v>1129</v>
      </c>
      <c r="I66" s="401" t="s">
        <v>1130</v>
      </c>
      <c r="J66" s="396" t="s">
        <v>5284</v>
      </c>
      <c r="K66" s="397" t="s">
        <v>5639</v>
      </c>
      <c r="L66" s="396" t="s">
        <v>1098</v>
      </c>
      <c r="M66" s="397" t="s">
        <v>1099</v>
      </c>
      <c r="N66" s="394" t="s">
        <v>1116</v>
      </c>
      <c r="O66" s="395" t="s">
        <v>1117</v>
      </c>
      <c r="P66" s="394" t="s">
        <v>1032</v>
      </c>
      <c r="Q66" s="395" t="s">
        <v>1033</v>
      </c>
      <c r="R66" s="400" t="s">
        <v>1149</v>
      </c>
      <c r="S66" s="401" t="s">
        <v>1150</v>
      </c>
      <c r="T66" s="396" t="s">
        <v>1105</v>
      </c>
      <c r="U66" s="397" t="s">
        <v>1106</v>
      </c>
      <c r="V66" s="402" t="s">
        <v>1520</v>
      </c>
      <c r="W66" s="403" t="s">
        <v>5878</v>
      </c>
      <c r="X66" s="396" t="s">
        <v>1153</v>
      </c>
      <c r="Y66" s="397" t="s">
        <v>1154</v>
      </c>
      <c r="Z66" s="393" t="s">
        <v>902</v>
      </c>
      <c r="AA66" s="393" t="s">
        <v>903</v>
      </c>
      <c r="AB66" s="389"/>
      <c r="AG66" s="389"/>
      <c r="AH66" s="389"/>
      <c r="AI66" s="389"/>
      <c r="AJ66" s="389"/>
      <c r="AK66" s="389"/>
      <c r="AL66" s="389"/>
      <c r="AM66" s="389"/>
      <c r="AN66" s="389"/>
      <c r="AO66" s="390"/>
      <c r="BG66" s="15" t="s">
        <v>490</v>
      </c>
      <c r="BH66" s="15">
        <v>11</v>
      </c>
      <c r="BI66" s="15">
        <v>12</v>
      </c>
      <c r="BJ66" s="15">
        <v>56</v>
      </c>
      <c r="BK66" s="15" cm="1">
        <f t="array" ref="BK66">_xlfn.IFS($AI$7&gt;=17,60,$AI$7&gt;=11,59,$AI$7&gt;=6,58,$AI$7&gt;=3,57,1,0)</f>
        <v>0</v>
      </c>
      <c r="BM66" s="16">
        <f>IFERROR(IF(BM65+1&gt;BQ2,IF(BM65+1&gt;BQ2,IF(BP3+BP65&gt;BQ3,"",BP3+BP65)),BM65+1),"")</f>
        <v>61</v>
      </c>
      <c r="BN66" s="16" t="str">
        <f>IFERROR(INDEX(B30:AO180,BM66,BN2),"")</f>
        <v/>
      </c>
      <c r="BO66" s="16" t="str">
        <f>IFERROR(INDEX(B30:AO180,BM66,BO2),"")</f>
        <v/>
      </c>
      <c r="BP66" s="16">
        <f>IFERROR(IF(BM65+1&gt;BQ2,BP65+1,0),"")</f>
        <v>0</v>
      </c>
      <c r="BS66" s="412" t="str">
        <f t="shared" si="1"/>
        <v/>
      </c>
      <c r="BT66" s="413" t="str" cm="1">
        <f t="array" ref="BT66">INDEX(BS:BS,SMALL(IF($BS$2:$BS$101&lt;&gt;"",ROW($BS$2:$BS$101),142),ROW(BS65)))&amp;""</f>
        <v/>
      </c>
      <c r="BU66" s="16" t="str">
        <f>IF(主要!AX75="","",主要!AX75)</f>
        <v/>
      </c>
      <c r="BV66" s="16" t="str">
        <f t="shared" si="2"/>
        <v/>
      </c>
    </row>
    <row r="67" spans="1:74" ht="16.5" customHeight="1">
      <c r="A67" s="233">
        <v>38</v>
      </c>
      <c r="B67" s="398" t="s">
        <v>5700</v>
      </c>
      <c r="C67" s="395" t="s">
        <v>5701</v>
      </c>
      <c r="D67" s="400" t="s">
        <v>647</v>
      </c>
      <c r="E67" s="401" t="s">
        <v>5745</v>
      </c>
      <c r="F67" s="394" t="s">
        <v>886</v>
      </c>
      <c r="G67" s="395" t="s">
        <v>887</v>
      </c>
      <c r="H67" s="400" t="s">
        <v>1143</v>
      </c>
      <c r="I67" s="401" t="s">
        <v>1144</v>
      </c>
      <c r="J67" s="396" t="s">
        <v>5283</v>
      </c>
      <c r="K67" s="397" t="s">
        <v>5640</v>
      </c>
      <c r="L67" s="394" t="s">
        <v>1115</v>
      </c>
      <c r="M67" s="395" t="s">
        <v>5654</v>
      </c>
      <c r="N67" s="394" t="s">
        <v>1131</v>
      </c>
      <c r="O67" s="395" t="s">
        <v>1132</v>
      </c>
      <c r="P67" s="394" t="s">
        <v>1049</v>
      </c>
      <c r="Q67" s="395" t="s">
        <v>1050</v>
      </c>
      <c r="R67" s="400" t="s">
        <v>1166</v>
      </c>
      <c r="S67" s="401" t="s">
        <v>1167</v>
      </c>
      <c r="T67" s="396" t="s">
        <v>1122</v>
      </c>
      <c r="U67" s="397" t="s">
        <v>1123</v>
      </c>
      <c r="V67" s="406" t="s">
        <v>3740</v>
      </c>
      <c r="W67" s="407" t="s">
        <v>5890</v>
      </c>
      <c r="X67" s="396" t="s">
        <v>1170</v>
      </c>
      <c r="Y67" s="397" t="s">
        <v>1171</v>
      </c>
      <c r="Z67" s="393" t="s">
        <v>918</v>
      </c>
      <c r="AA67" s="393" t="s">
        <v>919</v>
      </c>
      <c r="AB67" s="389"/>
      <c r="AG67" s="389"/>
      <c r="AH67" s="389"/>
      <c r="AI67" s="389"/>
      <c r="AJ67" s="389"/>
      <c r="AK67" s="389"/>
      <c r="AL67" s="389"/>
      <c r="AM67" s="389"/>
      <c r="AN67" s="389"/>
      <c r="AO67" s="390"/>
      <c r="BG67" s="15" t="s">
        <v>491</v>
      </c>
      <c r="BH67" s="15">
        <v>11</v>
      </c>
      <c r="BI67" s="15">
        <v>12</v>
      </c>
      <c r="BJ67" s="15">
        <v>61</v>
      </c>
      <c r="BK67" s="15" cm="1">
        <f t="array" ref="BK67">_xlfn.IFS($AI$7&gt;=17,64,$AI$7&gt;=11,63,$AI$7&gt;=6,62,$AI$7&gt;=3,61,1,0)</f>
        <v>0</v>
      </c>
      <c r="BM67" s="16">
        <f>IFERROR(IF(BM66+1&gt;BQ2,IF(BM66+1&gt;BQ2,IF(BP3+BP66&gt;BQ3,"",BP3+BP66)),BM66+1),"")</f>
        <v>62</v>
      </c>
      <c r="BN67" s="16" t="str">
        <f>IFERROR(INDEX(B30:AO180,BM67,BN2),"")</f>
        <v/>
      </c>
      <c r="BO67" s="16" t="str">
        <f>IFERROR(INDEX(B30:AO180,BM67,BO2),"")</f>
        <v/>
      </c>
      <c r="BP67" s="16">
        <f>IFERROR(IF(BM66+1&gt;BQ2,BP66+1,0),"")</f>
        <v>0</v>
      </c>
      <c r="BS67" s="412" t="str">
        <f t="shared" ref="BS67:BS101" si="3">IFERROR(IF(OR(BN71="",COUNTIF($BU$2:$BU$68,BN71)),"",BN71),"")</f>
        <v/>
      </c>
      <c r="BT67" s="413" t="str" cm="1">
        <f t="array" ref="BT67">INDEX(BS:BS,SMALL(IF($BS$2:$BS$101&lt;&gt;"",ROW($BS$2:$BS$101),142),ROW(BS66)))&amp;""</f>
        <v/>
      </c>
      <c r="BU67" s="16" t="str">
        <f>IF(主要!AX76="","",主要!AX76)</f>
        <v/>
      </c>
      <c r="BV67" s="16" t="str">
        <f t="shared" ref="BV67:BV68" si="4">IFERROR(VLOOKUP(BU67,$BN$6:$BO$105,2,FALSE),"")</f>
        <v/>
      </c>
    </row>
    <row r="68" spans="1:74" ht="16.5" customHeight="1">
      <c r="A68" s="233">
        <v>39</v>
      </c>
      <c r="B68" s="398" t="s">
        <v>1156</v>
      </c>
      <c r="C68" s="395" t="s">
        <v>5702</v>
      </c>
      <c r="D68" s="400" t="s">
        <v>1157</v>
      </c>
      <c r="E68" s="401" t="s">
        <v>5744</v>
      </c>
      <c r="F68" s="394" t="s">
        <v>1142</v>
      </c>
      <c r="G68" s="395" t="s">
        <v>5778</v>
      </c>
      <c r="H68" s="400" t="s">
        <v>1160</v>
      </c>
      <c r="I68" s="401" t="s">
        <v>1161</v>
      </c>
      <c r="J68" s="396" t="s">
        <v>4600</v>
      </c>
      <c r="K68" s="397" t="s">
        <v>5641</v>
      </c>
      <c r="L68" s="394" t="s">
        <v>5659</v>
      </c>
      <c r="M68" s="395" t="s">
        <v>5660</v>
      </c>
      <c r="N68" s="394" t="s">
        <v>1145</v>
      </c>
      <c r="O68" s="395" t="s">
        <v>1146</v>
      </c>
      <c r="P68" s="394" t="s">
        <v>1067</v>
      </c>
      <c r="Q68" s="395" t="s">
        <v>1068</v>
      </c>
      <c r="R68" s="400" t="s">
        <v>1185</v>
      </c>
      <c r="S68" s="401" t="s">
        <v>1186</v>
      </c>
      <c r="T68" s="396" t="s">
        <v>5940</v>
      </c>
      <c r="U68" s="397" t="s">
        <v>5941</v>
      </c>
      <c r="V68" s="406" t="s">
        <v>3742</v>
      </c>
      <c r="W68" s="407" t="s">
        <v>5892</v>
      </c>
      <c r="X68" s="394" t="s">
        <v>1189</v>
      </c>
      <c r="Y68" s="395" t="s">
        <v>1190</v>
      </c>
      <c r="Z68" s="394" t="s">
        <v>989</v>
      </c>
      <c r="AA68" s="394" t="s">
        <v>5903</v>
      </c>
      <c r="AB68" s="389"/>
      <c r="AE68" s="389"/>
      <c r="AF68" s="389"/>
      <c r="AG68" s="389"/>
      <c r="AH68" s="389"/>
      <c r="AI68" s="389"/>
      <c r="AJ68" s="389"/>
      <c r="AK68" s="389"/>
      <c r="AL68" s="389"/>
      <c r="AM68" s="389"/>
      <c r="AN68" s="389"/>
      <c r="AO68" s="390"/>
      <c r="BG68" s="15" t="s">
        <v>492</v>
      </c>
      <c r="BH68" s="15">
        <v>11</v>
      </c>
      <c r="BI68" s="15">
        <v>12</v>
      </c>
      <c r="BJ68" s="15">
        <v>65</v>
      </c>
      <c r="BK68" s="15" cm="1">
        <f t="array" ref="BK68">_xlfn.IFS($AI$7&gt;=17,68,$AI$7&gt;=11,67,$AI$7&gt;=6,66,$AI$7&gt;=3,65,1,0)</f>
        <v>0</v>
      </c>
      <c r="BM68" s="16">
        <f>IFERROR(IF(BM67+1&gt;BQ2,IF(BM67+1&gt;BQ2,IF(BP3+BP67&gt;BQ3,"",BP3+BP67)),BM67+1),"")</f>
        <v>63</v>
      </c>
      <c r="BN68" s="16" t="str">
        <f>IFERROR(INDEX(B30:AO180,BM68,BN2),"")</f>
        <v/>
      </c>
      <c r="BO68" s="16" t="str">
        <f>IFERROR(INDEX(B30:AO180,BM68,BO2),"")</f>
        <v/>
      </c>
      <c r="BP68" s="16">
        <f>IFERROR(IF(BM67+1&gt;BQ2,BP67+1,0),"")</f>
        <v>0</v>
      </c>
      <c r="BS68" s="412" t="str">
        <f t="shared" si="3"/>
        <v/>
      </c>
      <c r="BT68" s="413" t="str" cm="1">
        <f t="array" ref="BT68">INDEX(BS:BS,SMALL(IF($BS$2:$BS$101&lt;&gt;"",ROW($BS$2:$BS$101),142),ROW(BS67)))&amp;""</f>
        <v/>
      </c>
      <c r="BU68" s="16" t="str">
        <f>IF(主要!AX77="","",主要!AX77)</f>
        <v/>
      </c>
      <c r="BV68" s="16" t="str">
        <f t="shared" si="4"/>
        <v/>
      </c>
    </row>
    <row r="69" spans="1:74" ht="16.5" customHeight="1">
      <c r="A69" s="233">
        <v>40</v>
      </c>
      <c r="B69" s="398" t="s">
        <v>1174</v>
      </c>
      <c r="C69" s="395" t="s">
        <v>5703</v>
      </c>
      <c r="D69" s="394" t="s">
        <v>1175</v>
      </c>
      <c r="E69" s="395" t="s">
        <v>5746</v>
      </c>
      <c r="F69" s="396" t="s">
        <v>1158</v>
      </c>
      <c r="G69" s="397" t="s">
        <v>1159</v>
      </c>
      <c r="H69" s="394" t="s">
        <v>1177</v>
      </c>
      <c r="I69" s="395" t="s">
        <v>1178</v>
      </c>
      <c r="J69" s="396" t="s">
        <v>4601</v>
      </c>
      <c r="K69" s="397" t="s">
        <v>3689</v>
      </c>
      <c r="L69" s="394" t="s">
        <v>1162</v>
      </c>
      <c r="M69" s="395" t="s">
        <v>5663</v>
      </c>
      <c r="N69" s="400" t="s">
        <v>4702</v>
      </c>
      <c r="O69" s="401" t="s">
        <v>1163</v>
      </c>
      <c r="P69" s="394" t="s">
        <v>1084</v>
      </c>
      <c r="Q69" s="395" t="s">
        <v>1085</v>
      </c>
      <c r="R69" s="400" t="s">
        <v>1202</v>
      </c>
      <c r="S69" s="401" t="s">
        <v>1203</v>
      </c>
      <c r="T69" s="396" t="s">
        <v>1137</v>
      </c>
      <c r="U69" s="397" t="s">
        <v>1138</v>
      </c>
      <c r="V69" s="393" t="s">
        <v>475</v>
      </c>
      <c r="W69" s="392" t="s">
        <v>476</v>
      </c>
      <c r="X69" s="394" t="s">
        <v>1206</v>
      </c>
      <c r="Y69" s="395" t="s">
        <v>1207</v>
      </c>
      <c r="Z69" s="393" t="s">
        <v>935</v>
      </c>
      <c r="AA69" s="393" t="s">
        <v>936</v>
      </c>
      <c r="AB69" s="389"/>
      <c r="AE69" s="389"/>
      <c r="AF69" s="389"/>
      <c r="AG69" s="389"/>
      <c r="AH69" s="389"/>
      <c r="AI69" s="389"/>
      <c r="AJ69" s="389"/>
      <c r="AK69" s="389"/>
      <c r="AL69" s="389"/>
      <c r="AM69" s="389"/>
      <c r="AN69" s="389"/>
      <c r="AO69" s="390"/>
      <c r="BG69" s="15" t="s">
        <v>493</v>
      </c>
      <c r="BH69" s="15">
        <v>11</v>
      </c>
      <c r="BI69" s="15">
        <v>12</v>
      </c>
      <c r="BJ69" s="15">
        <v>69</v>
      </c>
      <c r="BK69" s="15" cm="1">
        <f t="array" ref="BK69">_xlfn.IFS($AI$7&gt;=17,72,$AI$7&gt;=11,71,$AI$7&gt;=6,70,$AI$7&gt;=3,69,1,0)</f>
        <v>0</v>
      </c>
      <c r="BM69" s="16">
        <f>IFERROR(IF(BM68+1&gt;BQ2,IF(BM68+1&gt;BQ2,IF(BP3+BP68&gt;BQ3,"",BP3+BP68)),BM68+1),"")</f>
        <v>64</v>
      </c>
      <c r="BN69" s="16" t="str">
        <f>IFERROR(INDEX(B30:AO180,BM69,BN2),"")</f>
        <v/>
      </c>
      <c r="BO69" s="16" t="str">
        <f>IFERROR(INDEX(B30:AO180,BM69,BO2),"")</f>
        <v/>
      </c>
      <c r="BP69" s="16">
        <f>IFERROR(IF(BM68+1&gt;BQ2,BP68+1,0),"")</f>
        <v>0</v>
      </c>
      <c r="BS69" s="412" t="str">
        <f t="shared" si="3"/>
        <v/>
      </c>
      <c r="BT69" s="413" t="str" cm="1">
        <f t="array" ref="BT69">INDEX(BS:BS,SMALL(IF($BS$2:$BS$101&lt;&gt;"",ROW($BS$2:$BS$101),142),ROW(BS68)))&amp;""</f>
        <v/>
      </c>
    </row>
    <row r="70" spans="1:74" ht="16.5" customHeight="1">
      <c r="A70" s="233">
        <v>41</v>
      </c>
      <c r="B70" s="398" t="s">
        <v>1192</v>
      </c>
      <c r="C70" s="395" t="s">
        <v>5704</v>
      </c>
      <c r="D70" s="394" t="s">
        <v>5750</v>
      </c>
      <c r="E70" s="395" t="s">
        <v>5747</v>
      </c>
      <c r="F70" s="396" t="s">
        <v>1176</v>
      </c>
      <c r="G70" s="397" t="s">
        <v>5779</v>
      </c>
      <c r="H70" s="394" t="s">
        <v>1194</v>
      </c>
      <c r="I70" s="395" t="s">
        <v>1195</v>
      </c>
      <c r="J70" s="396" t="s">
        <v>4602</v>
      </c>
      <c r="K70" s="397" t="s">
        <v>5642</v>
      </c>
      <c r="L70" s="394" t="s">
        <v>1180</v>
      </c>
      <c r="M70" s="395" t="s">
        <v>1181</v>
      </c>
      <c r="N70" s="400" t="s">
        <v>4703</v>
      </c>
      <c r="O70" s="401" t="s">
        <v>1182</v>
      </c>
      <c r="P70" s="400" t="s">
        <v>1101</v>
      </c>
      <c r="Q70" s="401" t="s">
        <v>1102</v>
      </c>
      <c r="R70" s="400" t="s">
        <v>1218</v>
      </c>
      <c r="S70" s="401" t="s">
        <v>1219</v>
      </c>
      <c r="T70" s="394" t="s">
        <v>1151</v>
      </c>
      <c r="U70" s="395" t="s">
        <v>1152</v>
      </c>
      <c r="V70" s="393" t="s">
        <v>632</v>
      </c>
      <c r="W70" s="392" t="s">
        <v>730</v>
      </c>
      <c r="X70" s="394" t="s">
        <v>1222</v>
      </c>
      <c r="Y70" s="395" t="s">
        <v>1223</v>
      </c>
      <c r="Z70" s="393" t="s">
        <v>953</v>
      </c>
      <c r="AA70" s="393" t="s">
        <v>954</v>
      </c>
      <c r="AB70" s="389"/>
      <c r="AF70" s="389"/>
      <c r="AG70" s="389"/>
      <c r="AH70" s="389"/>
      <c r="AI70" s="389"/>
      <c r="AJ70" s="389"/>
      <c r="AK70" s="389"/>
      <c r="AL70" s="389"/>
      <c r="AM70" s="389"/>
      <c r="AN70" s="389"/>
      <c r="AO70" s="390"/>
      <c r="BG70" s="15" t="s">
        <v>494</v>
      </c>
      <c r="BH70" s="15">
        <v>11</v>
      </c>
      <c r="BI70" s="15">
        <v>12</v>
      </c>
      <c r="BJ70" s="15">
        <v>73</v>
      </c>
      <c r="BK70" s="15" cm="1">
        <f t="array" ref="BK70">_xlfn.IFS($AI$7&gt;=17,78,$AI$7&gt;=11,77,$AI$7&gt;=6,76,$AI$7&gt;=3,75,1,0)</f>
        <v>0</v>
      </c>
      <c r="BM70" s="16">
        <f>IFERROR(IF(BM69+1&gt;BQ2,IF(BM69+1&gt;BQ2,IF(BP3+BP69&gt;BQ3,"",BP3+BP69)),BM69+1),"")</f>
        <v>65</v>
      </c>
      <c r="BN70" s="16" t="str">
        <f>IFERROR(INDEX(B30:AO180,BM70,BN2),"")</f>
        <v/>
      </c>
      <c r="BO70" s="16" t="str">
        <f>IFERROR(INDEX(B30:AO180,BM70,BO2),"")</f>
        <v/>
      </c>
      <c r="BP70" s="16">
        <f>IFERROR(IF(BM69+1&gt;BQ2,BP69+1,0),"")</f>
        <v>0</v>
      </c>
      <c r="BS70" s="412" t="str">
        <f t="shared" si="3"/>
        <v/>
      </c>
      <c r="BT70" s="413" t="str" cm="1">
        <f t="array" ref="BT70">INDEX(BS:BS,SMALL(IF($BS$2:$BS$101&lt;&gt;"",ROW($BS$2:$BS$101),142),ROW(BS69)))&amp;""</f>
        <v/>
      </c>
    </row>
    <row r="71" spans="1:74" ht="16.5" customHeight="1">
      <c r="A71" s="233">
        <v>42</v>
      </c>
      <c r="B71" s="399" t="s">
        <v>1208</v>
      </c>
      <c r="C71" s="397" t="s">
        <v>5705</v>
      </c>
      <c r="D71" s="394" t="s">
        <v>1209</v>
      </c>
      <c r="E71" s="395" t="s">
        <v>5748</v>
      </c>
      <c r="F71" s="396" t="s">
        <v>884</v>
      </c>
      <c r="G71" s="397" t="s">
        <v>1193</v>
      </c>
      <c r="H71" s="394" t="s">
        <v>1211</v>
      </c>
      <c r="I71" s="395" t="s">
        <v>1212</v>
      </c>
      <c r="J71" s="396" t="s">
        <v>4603</v>
      </c>
      <c r="K71" s="397" t="s">
        <v>5643</v>
      </c>
      <c r="L71" s="394" t="s">
        <v>1197</v>
      </c>
      <c r="M71" s="395" t="s">
        <v>5664</v>
      </c>
      <c r="N71" s="400" t="s">
        <v>1198</v>
      </c>
      <c r="O71" s="401" t="s">
        <v>1199</v>
      </c>
      <c r="P71" s="400" t="s">
        <v>1118</v>
      </c>
      <c r="Q71" s="401" t="s">
        <v>1119</v>
      </c>
      <c r="R71" s="400" t="s">
        <v>1236</v>
      </c>
      <c r="S71" s="401" t="s">
        <v>1237</v>
      </c>
      <c r="T71" s="394" t="s">
        <v>1168</v>
      </c>
      <c r="U71" s="395" t="s">
        <v>1169</v>
      </c>
      <c r="V71" s="388" t="s">
        <v>3656</v>
      </c>
      <c r="W71" s="387" t="s">
        <v>5858</v>
      </c>
      <c r="X71" s="394" t="s">
        <v>1240</v>
      </c>
      <c r="Y71" s="395" t="s">
        <v>1241</v>
      </c>
      <c r="Z71" s="400" t="s">
        <v>5897</v>
      </c>
      <c r="AA71" s="400" t="s">
        <v>1257</v>
      </c>
      <c r="AB71" s="389"/>
      <c r="AF71" s="389"/>
      <c r="AG71" s="389"/>
      <c r="AH71" s="389"/>
      <c r="AI71" s="389"/>
      <c r="AJ71" s="389"/>
      <c r="AK71" s="389"/>
      <c r="AL71" s="389"/>
      <c r="AM71" s="389"/>
      <c r="AN71" s="389"/>
      <c r="AO71" s="390"/>
      <c r="BG71" s="15" t="s">
        <v>495</v>
      </c>
      <c r="BH71" s="15">
        <v>11</v>
      </c>
      <c r="BI71" s="15">
        <v>12</v>
      </c>
      <c r="BJ71" s="15">
        <v>79</v>
      </c>
      <c r="BK71" s="15" cm="1">
        <f t="array" ref="BK71">_xlfn.IFS($AI$7&gt;=17,82,$AI$7&gt;=11,81,$AI$7&gt;=6,80,$AI$7&gt;=3,79,1,0)</f>
        <v>0</v>
      </c>
      <c r="BM71" s="16">
        <f>IFERROR(IF(BM70+1&gt;BQ2,IF(BM70+1&gt;BQ2,IF(BP3+BP70&gt;BQ3,"",BP3+BP70)),BM70+1),"")</f>
        <v>66</v>
      </c>
      <c r="BN71" s="16" t="str">
        <f>IFERROR(INDEX(B30:AO180,BM71,BN2),"")</f>
        <v/>
      </c>
      <c r="BO71" s="16" t="str">
        <f>IFERROR(INDEX(B30:AO180,BM71,BO2),"")</f>
        <v/>
      </c>
      <c r="BP71" s="16">
        <f>IFERROR(IF(BM70+1&gt;BQ2,BP70+1,0),"")</f>
        <v>0</v>
      </c>
      <c r="BS71" s="412" t="str">
        <f t="shared" si="3"/>
        <v/>
      </c>
      <c r="BT71" s="413" t="str" cm="1">
        <f t="array" ref="BT71">INDEX(BS:BS,SMALL(IF($BS$2:$BS$101&lt;&gt;"",ROW($BS$2:$BS$101),142),ROW(BS70)))&amp;""</f>
        <v/>
      </c>
    </row>
    <row r="72" spans="1:74" ht="16.5" customHeight="1" thickBot="1">
      <c r="A72" s="233">
        <v>43</v>
      </c>
      <c r="B72" s="399" t="s">
        <v>1225</v>
      </c>
      <c r="C72" s="397" t="s">
        <v>5706</v>
      </c>
      <c r="D72" s="394" t="s">
        <v>1226</v>
      </c>
      <c r="E72" s="395" t="s">
        <v>5749</v>
      </c>
      <c r="F72" s="396" t="s">
        <v>1210</v>
      </c>
      <c r="G72" s="397" t="s">
        <v>5780</v>
      </c>
      <c r="H72" s="394" t="s">
        <v>1229</v>
      </c>
      <c r="I72" s="395" t="s">
        <v>1230</v>
      </c>
      <c r="J72" s="396" t="s">
        <v>4604</v>
      </c>
      <c r="K72" s="397" t="s">
        <v>3688</v>
      </c>
      <c r="L72" s="394" t="s">
        <v>1298</v>
      </c>
      <c r="M72" s="395" t="s">
        <v>1299</v>
      </c>
      <c r="N72" s="400" t="s">
        <v>1214</v>
      </c>
      <c r="O72" s="401" t="s">
        <v>1215</v>
      </c>
      <c r="P72" s="400" t="s">
        <v>1133</v>
      </c>
      <c r="Q72" s="401" t="s">
        <v>1134</v>
      </c>
      <c r="R72" s="394" t="s">
        <v>1251</v>
      </c>
      <c r="S72" s="395" t="s">
        <v>1252</v>
      </c>
      <c r="T72" s="394" t="s">
        <v>1187</v>
      </c>
      <c r="U72" s="395" t="s">
        <v>1188</v>
      </c>
      <c r="V72" s="388" t="s">
        <v>3658</v>
      </c>
      <c r="W72" s="387" t="s">
        <v>5860</v>
      </c>
      <c r="X72" s="394" t="s">
        <v>1255</v>
      </c>
      <c r="Y72" s="395" t="s">
        <v>1256</v>
      </c>
      <c r="Z72" s="400" t="s">
        <v>1275</v>
      </c>
      <c r="AA72" s="400" t="s">
        <v>5898</v>
      </c>
      <c r="AB72" s="389"/>
      <c r="AF72" s="389"/>
      <c r="AG72" s="389"/>
      <c r="AH72" s="389"/>
      <c r="AI72" s="389"/>
      <c r="AJ72" s="389"/>
      <c r="AK72" s="389"/>
      <c r="AL72" s="389"/>
      <c r="AM72" s="389"/>
      <c r="AN72" s="389"/>
      <c r="AO72" s="390"/>
      <c r="BG72" s="15" t="s">
        <v>4605</v>
      </c>
      <c r="BH72" s="15">
        <v>11</v>
      </c>
      <c r="BI72" s="15">
        <v>12</v>
      </c>
      <c r="BJ72" s="15">
        <v>83</v>
      </c>
      <c r="BK72" s="15" cm="1">
        <f t="array" ref="BK72">_xlfn.IFS($AI$7&gt;=17,88,$AI$7&gt;=11,87,$AI$7&gt;=6,86,$AI$7&gt;=3,85,1,0)</f>
        <v>0</v>
      </c>
      <c r="BM72" s="16">
        <f>IFERROR(IF(BM71+1&gt;BQ2,IF(BM71+1&gt;BQ2,IF(BP3+BP71&gt;BQ3,"",BP3+BP71)),BM71+1),"")</f>
        <v>67</v>
      </c>
      <c r="BN72" s="16" t="str">
        <f>IFERROR(INDEX(B30:AO180,BM72,BN2),"")</f>
        <v/>
      </c>
      <c r="BO72" s="16" t="str">
        <f>IFERROR(INDEX(B30:AO180,BM72,BO2),"")</f>
        <v/>
      </c>
      <c r="BP72" s="16">
        <f>IFERROR(IF(BM71+1&gt;BQ2,BP71+1,0),"")</f>
        <v>0</v>
      </c>
      <c r="BS72" s="412" t="str">
        <f t="shared" si="3"/>
        <v/>
      </c>
      <c r="BT72" s="413" t="str" cm="1">
        <f t="array" ref="BT72">INDEX(BS:BS,SMALL(IF($BS$2:$BS$101&lt;&gt;"",ROW($BS$2:$BS$101),142),ROW(BS71)))&amp;""</f>
        <v/>
      </c>
    </row>
    <row r="73" spans="1:74" ht="16.5" customHeight="1" thickTop="1">
      <c r="A73" s="233">
        <v>44</v>
      </c>
      <c r="B73" s="399" t="s">
        <v>1243</v>
      </c>
      <c r="C73" s="397" t="s">
        <v>5707</v>
      </c>
      <c r="D73" s="400" t="s">
        <v>1244</v>
      </c>
      <c r="E73" s="401" t="s">
        <v>5752</v>
      </c>
      <c r="F73" s="396" t="s">
        <v>1227</v>
      </c>
      <c r="G73" s="397" t="s">
        <v>1228</v>
      </c>
      <c r="H73" s="394" t="s">
        <v>1245</v>
      </c>
      <c r="I73" s="395" t="s">
        <v>1246</v>
      </c>
      <c r="J73" s="396" t="s">
        <v>825</v>
      </c>
      <c r="K73" s="397" t="s">
        <v>826</v>
      </c>
      <c r="L73" s="394" t="s">
        <v>1317</v>
      </c>
      <c r="M73" s="395" t="s">
        <v>5675</v>
      </c>
      <c r="N73" s="400" t="s">
        <v>1232</v>
      </c>
      <c r="O73" s="401" t="s">
        <v>1233</v>
      </c>
      <c r="P73" s="400" t="s">
        <v>1147</v>
      </c>
      <c r="Q73" s="401" t="s">
        <v>1148</v>
      </c>
      <c r="R73" s="394" t="s">
        <v>1269</v>
      </c>
      <c r="S73" s="395" t="s">
        <v>1270</v>
      </c>
      <c r="T73" s="394" t="s">
        <v>1204</v>
      </c>
      <c r="U73" s="395" t="s">
        <v>1205</v>
      </c>
      <c r="V73" s="388" t="s">
        <v>3662</v>
      </c>
      <c r="W73" s="387" t="s">
        <v>5864</v>
      </c>
      <c r="X73" s="396" t="s">
        <v>1273</v>
      </c>
      <c r="Y73" s="397" t="s">
        <v>1274</v>
      </c>
      <c r="Z73" s="400" t="s">
        <v>1293</v>
      </c>
      <c r="AA73" s="400" t="s">
        <v>5899</v>
      </c>
      <c r="AB73" s="389"/>
      <c r="AE73" s="389"/>
      <c r="AF73" s="389"/>
      <c r="AG73" s="389"/>
      <c r="AH73" s="389"/>
      <c r="AI73" s="389"/>
      <c r="AJ73" s="389"/>
      <c r="AK73" s="389"/>
      <c r="AL73" s="389"/>
      <c r="AM73" s="389"/>
      <c r="AN73" s="389"/>
      <c r="AO73" s="390"/>
      <c r="BG73" s="235" t="s">
        <v>3603</v>
      </c>
      <c r="BH73" s="235">
        <v>13</v>
      </c>
      <c r="BI73" s="235">
        <v>14</v>
      </c>
      <c r="BJ73" s="235">
        <v>25</v>
      </c>
      <c r="BK73" s="235" cm="1">
        <f t="array" ref="BK73">_xlfn.IFS($AI$8&gt;=20,29,$AI$8&gt;=15,28,$AI$8&gt;=7,27,$AI$8&gt;=3,26,1,0)</f>
        <v>0</v>
      </c>
      <c r="BM73" s="16">
        <f>IFERROR(IF(BM72+1&gt;BQ2,IF(BM72+1&gt;BQ2,IF(BP3+BP72&gt;BQ3,"",BP3+BP72)),BM72+1),"")</f>
        <v>68</v>
      </c>
      <c r="BN73" s="16" t="str">
        <f>IFERROR(INDEX(B30:AO180,BM73,BN2),"")</f>
        <v/>
      </c>
      <c r="BO73" s="16" t="str">
        <f>IFERROR(INDEX(B30:AO180,BM73,BO2),"")</f>
        <v/>
      </c>
      <c r="BP73" s="16">
        <f>IFERROR(IF(BM72+1&gt;BQ2,BP72+1,0),"")</f>
        <v>0</v>
      </c>
      <c r="BS73" s="412" t="str">
        <f t="shared" si="3"/>
        <v/>
      </c>
      <c r="BT73" s="413" t="str" cm="1">
        <f t="array" ref="BT73">INDEX(BS:BS,SMALL(IF($BS$2:$BS$101&lt;&gt;"",ROW($BS$2:$BS$101),142),ROW(BS72)))&amp;""</f>
        <v/>
      </c>
    </row>
    <row r="74" spans="1:74" ht="16.5" customHeight="1">
      <c r="A74" s="233">
        <v>45</v>
      </c>
      <c r="B74" s="399" t="s">
        <v>1258</v>
      </c>
      <c r="C74" s="397" t="s">
        <v>5708</v>
      </c>
      <c r="D74" s="400" t="s">
        <v>1259</v>
      </c>
      <c r="E74" s="401" t="s">
        <v>5753</v>
      </c>
      <c r="F74" s="396" t="s">
        <v>1010</v>
      </c>
      <c r="G74" s="397" t="s">
        <v>5781</v>
      </c>
      <c r="H74" s="394" t="s">
        <v>1262</v>
      </c>
      <c r="I74" s="395" t="s">
        <v>1263</v>
      </c>
      <c r="J74" s="396" t="s">
        <v>846</v>
      </c>
      <c r="K74" s="397" t="s">
        <v>847</v>
      </c>
      <c r="L74" s="394" t="s">
        <v>1334</v>
      </c>
      <c r="M74" s="395" t="s">
        <v>1335</v>
      </c>
      <c r="N74" s="394" t="s">
        <v>4704</v>
      </c>
      <c r="O74" s="395" t="s">
        <v>1248</v>
      </c>
      <c r="P74" s="400" t="s">
        <v>1164</v>
      </c>
      <c r="Q74" s="401" t="s">
        <v>1165</v>
      </c>
      <c r="R74" s="394" t="s">
        <v>1287</v>
      </c>
      <c r="S74" s="395" t="s">
        <v>1288</v>
      </c>
      <c r="T74" s="394" t="s">
        <v>1220</v>
      </c>
      <c r="U74" s="395" t="s">
        <v>1221</v>
      </c>
      <c r="V74" s="388" t="s">
        <v>3664</v>
      </c>
      <c r="W74" s="387" t="s">
        <v>5866</v>
      </c>
      <c r="X74" s="396" t="s">
        <v>1291</v>
      </c>
      <c r="Y74" s="397" t="s">
        <v>1292</v>
      </c>
      <c r="Z74" s="400" t="s">
        <v>1310</v>
      </c>
      <c r="AA74" s="400" t="s">
        <v>5900</v>
      </c>
      <c r="AB74" s="389"/>
      <c r="AE74" s="389"/>
      <c r="AF74" s="389"/>
      <c r="AG74" s="389"/>
      <c r="AH74" s="389"/>
      <c r="AI74" s="389"/>
      <c r="AJ74" s="389"/>
      <c r="AK74" s="389"/>
      <c r="AL74" s="389"/>
      <c r="AM74" s="389"/>
      <c r="AN74" s="389"/>
      <c r="AO74" s="390"/>
      <c r="BG74" s="15" t="s">
        <v>3604</v>
      </c>
      <c r="BH74" s="15">
        <v>13</v>
      </c>
      <c r="BI74" s="15">
        <v>14</v>
      </c>
      <c r="BJ74" s="15">
        <v>30</v>
      </c>
      <c r="BK74" s="15" cm="1">
        <f t="array" ref="BK74">_xlfn.IFS($AI$8&gt;=20,34,$AI$8&gt;=15,33,$AI$8&gt;=7,32,$AI$8&gt;=3,31,1,0)</f>
        <v>0</v>
      </c>
      <c r="BM74" s="16">
        <f>IFERROR(IF(BM73+1&gt;BQ2,IF(BM73+1&gt;BQ2,IF(BP3+BP73&gt;BQ3,"",BP3+BP73)),BM73+1),"")</f>
        <v>69</v>
      </c>
      <c r="BN74" s="16" t="str">
        <f>IFERROR(INDEX(B30:AO180,BM74,BN2),"")</f>
        <v/>
      </c>
      <c r="BO74" s="16" t="str">
        <f>IFERROR(INDEX(B30:AO180,BM74,BO2),"")</f>
        <v/>
      </c>
      <c r="BP74" s="16">
        <f>IFERROR(IF(BM73+1&gt;BQ2,BP73+1,0),"")</f>
        <v>0</v>
      </c>
      <c r="BS74" s="412" t="str">
        <f t="shared" si="3"/>
        <v/>
      </c>
      <c r="BT74" s="413" t="str" cm="1">
        <f t="array" ref="BT74">INDEX(BS:BS,SMALL(IF($BS$2:$BS$101&lt;&gt;"",ROW($BS$2:$BS$101),142),ROW(BS73)))&amp;""</f>
        <v/>
      </c>
    </row>
    <row r="75" spans="1:74" ht="16.5" customHeight="1">
      <c r="A75" s="233">
        <v>46</v>
      </c>
      <c r="B75" s="399" t="s">
        <v>1276</v>
      </c>
      <c r="C75" s="397" t="s">
        <v>5709</v>
      </c>
      <c r="D75" s="400" t="s">
        <v>1277</v>
      </c>
      <c r="E75" s="401" t="s">
        <v>5754</v>
      </c>
      <c r="F75" s="396" t="s">
        <v>1260</v>
      </c>
      <c r="G75" s="397" t="s">
        <v>1261</v>
      </c>
      <c r="H75" s="400" t="s">
        <v>1280</v>
      </c>
      <c r="I75" s="401" t="s">
        <v>5593</v>
      </c>
      <c r="J75" s="396" t="s">
        <v>867</v>
      </c>
      <c r="K75" s="397" t="s">
        <v>868</v>
      </c>
      <c r="L75" s="394" t="s">
        <v>1353</v>
      </c>
      <c r="M75" s="395" t="s">
        <v>5676</v>
      </c>
      <c r="N75" s="394" t="s">
        <v>4705</v>
      </c>
      <c r="O75" s="395" t="s">
        <v>1266</v>
      </c>
      <c r="P75" s="400" t="s">
        <v>1183</v>
      </c>
      <c r="Q75" s="401" t="s">
        <v>1184</v>
      </c>
      <c r="R75" s="394" t="s">
        <v>1304</v>
      </c>
      <c r="S75" s="395" t="s">
        <v>1305</v>
      </c>
      <c r="T75" s="400" t="s">
        <v>1238</v>
      </c>
      <c r="U75" s="401" t="s">
        <v>1239</v>
      </c>
      <c r="V75" s="402" t="s">
        <v>1417</v>
      </c>
      <c r="W75" s="403" t="s">
        <v>5871</v>
      </c>
      <c r="X75" s="396" t="s">
        <v>1308</v>
      </c>
      <c r="Y75" s="397" t="s">
        <v>1309</v>
      </c>
      <c r="Z75" s="400" t="s">
        <v>1326</v>
      </c>
      <c r="AA75" s="400" t="s">
        <v>5901</v>
      </c>
      <c r="AB75" s="389"/>
      <c r="AE75" s="389"/>
      <c r="AF75" s="389"/>
      <c r="AG75" s="389"/>
      <c r="AH75" s="389"/>
      <c r="AI75" s="389"/>
      <c r="AJ75" s="389"/>
      <c r="AK75" s="389"/>
      <c r="AL75" s="389"/>
      <c r="AM75" s="389"/>
      <c r="AN75" s="389"/>
      <c r="AO75" s="390"/>
      <c r="BG75" s="15" t="s">
        <v>3605</v>
      </c>
      <c r="BH75" s="15">
        <v>13</v>
      </c>
      <c r="BI75" s="15">
        <v>14</v>
      </c>
      <c r="BJ75" s="15">
        <v>35</v>
      </c>
      <c r="BK75" s="15" cm="1">
        <f t="array" ref="BK75">_xlfn.IFS($AI$8&gt;=20,39,$AI$8&gt;=15,38,$AI$8&gt;=7,37,$AI$8&gt;=3,36,1,0)</f>
        <v>0</v>
      </c>
      <c r="BM75" s="16">
        <f>IFERROR(IF(BM74+1&gt;BQ2,IF(BM74+1&gt;BQ2,IF(BP3+BP74&gt;BQ3,"",BP3+BP74)),BM74+1),"")</f>
        <v>70</v>
      </c>
      <c r="BN75" s="16" t="str">
        <f>IFERROR(INDEX(B30:AO180,BM75,BN2),"")</f>
        <v/>
      </c>
      <c r="BO75" s="16" t="str">
        <f>IFERROR(INDEX(B30:AO180,BM75,BO2),"")</f>
        <v/>
      </c>
      <c r="BP75" s="16">
        <f>IFERROR(IF(BM74+1&gt;BQ2,BP74+1,0),"")</f>
        <v>0</v>
      </c>
      <c r="BS75" s="412" t="str">
        <f t="shared" si="3"/>
        <v/>
      </c>
      <c r="BT75" s="413" t="str" cm="1">
        <f t="array" ref="BT75">INDEX(BS:BS,SMALL(IF($BS$2:$BS$101&lt;&gt;"",ROW($BS$2:$BS$101),142),ROW(BS74)))&amp;""</f>
        <v/>
      </c>
    </row>
    <row r="76" spans="1:74" ht="16.5" customHeight="1">
      <c r="A76" s="233">
        <v>47</v>
      </c>
      <c r="B76" s="398" t="s">
        <v>5710</v>
      </c>
      <c r="C76" s="395" t="s">
        <v>5711</v>
      </c>
      <c r="D76" s="400" t="s">
        <v>5751</v>
      </c>
      <c r="E76" s="401" t="s">
        <v>5755</v>
      </c>
      <c r="F76" s="394" t="s">
        <v>1278</v>
      </c>
      <c r="G76" s="395" t="s">
        <v>1279</v>
      </c>
      <c r="H76" s="400" t="s">
        <v>1295</v>
      </c>
      <c r="I76" s="401" t="s">
        <v>5594</v>
      </c>
      <c r="J76" s="394" t="s">
        <v>551</v>
      </c>
      <c r="K76" s="395" t="s">
        <v>1179</v>
      </c>
      <c r="L76" s="394" t="s">
        <v>5657</v>
      </c>
      <c r="M76" s="395" t="s">
        <v>5658</v>
      </c>
      <c r="N76" s="394" t="s">
        <v>1283</v>
      </c>
      <c r="O76" s="395" t="s">
        <v>1284</v>
      </c>
      <c r="P76" s="394" t="s">
        <v>1200</v>
      </c>
      <c r="Q76" s="395" t="s">
        <v>1201</v>
      </c>
      <c r="R76" s="394" t="s">
        <v>1320</v>
      </c>
      <c r="S76" s="395" t="s">
        <v>1321</v>
      </c>
      <c r="T76" s="400" t="s">
        <v>1253</v>
      </c>
      <c r="U76" s="401" t="s">
        <v>1254</v>
      </c>
      <c r="V76" s="402" t="s">
        <v>1435</v>
      </c>
      <c r="W76" s="403" t="s">
        <v>5873</v>
      </c>
      <c r="X76" s="396" t="s">
        <v>1324</v>
      </c>
      <c r="Y76" s="397" t="s">
        <v>1325</v>
      </c>
      <c r="Z76" s="400" t="s">
        <v>1345</v>
      </c>
      <c r="AA76" s="400" t="s">
        <v>5902</v>
      </c>
      <c r="AB76" s="389"/>
      <c r="AE76" s="389"/>
      <c r="AF76" s="389"/>
      <c r="AG76" s="389"/>
      <c r="AH76" s="389"/>
      <c r="AI76" s="389"/>
      <c r="AJ76" s="389"/>
      <c r="AK76" s="389"/>
      <c r="AL76" s="389"/>
      <c r="AM76" s="389"/>
      <c r="AN76" s="389"/>
      <c r="AO76" s="390"/>
      <c r="BG76" s="15" t="s">
        <v>3606</v>
      </c>
      <c r="BH76" s="15">
        <v>13</v>
      </c>
      <c r="BI76" s="15">
        <v>14</v>
      </c>
      <c r="BJ76" s="15">
        <v>40</v>
      </c>
      <c r="BK76" s="15" cm="1">
        <f t="array" ref="BK76">_xlfn.IFS($AI$8&gt;=20,44,$AI$8&gt;=15,43,$AI$8&gt;=7,42,$AI$8&gt;=3,41,1,0)</f>
        <v>0</v>
      </c>
      <c r="BM76" s="16">
        <f>IFERROR(IF(BM75+1&gt;BQ2,IF(BM75+1&gt;BQ2,IF(BP3+BP75&gt;BQ3,"",BP3+BP75)),BM75+1),"")</f>
        <v>71</v>
      </c>
      <c r="BN76" s="16" t="str">
        <f>IFERROR(INDEX(B30:AO180,BM76,BN2),"")</f>
        <v/>
      </c>
      <c r="BO76" s="16" t="str">
        <f>IFERROR(INDEX(B30:AO180,BM76,BO2),"")</f>
        <v/>
      </c>
      <c r="BP76" s="16">
        <f>IFERROR(IF(BM75+1&gt;BQ2,BP75+1,0),"")</f>
        <v>0</v>
      </c>
      <c r="BS76" s="412" t="str">
        <f t="shared" si="3"/>
        <v/>
      </c>
      <c r="BT76" s="413" t="str" cm="1">
        <f t="array" ref="BT76">INDEX(BS:BS,SMALL(IF($BS$2:$BS$101&lt;&gt;"",ROW($BS$2:$BS$101),142),ROW(BS75)))&amp;""</f>
        <v/>
      </c>
    </row>
    <row r="77" spans="1:74" ht="16.5" customHeight="1">
      <c r="A77" s="233">
        <v>48</v>
      </c>
      <c r="B77" s="398" t="s">
        <v>1311</v>
      </c>
      <c r="C77" s="395" t="s">
        <v>5712</v>
      </c>
      <c r="D77" s="394" t="s">
        <v>1312</v>
      </c>
      <c r="E77" s="395" t="s">
        <v>5757</v>
      </c>
      <c r="F77" s="394" t="s">
        <v>884</v>
      </c>
      <c r="G77" s="395" t="s">
        <v>1294</v>
      </c>
      <c r="H77" s="400" t="s">
        <v>1314</v>
      </c>
      <c r="I77" s="401" t="s">
        <v>5592</v>
      </c>
      <c r="J77" s="394" t="s">
        <v>135</v>
      </c>
      <c r="K77" s="395" t="s">
        <v>1196</v>
      </c>
      <c r="L77" s="394" t="s">
        <v>5667</v>
      </c>
      <c r="M77" s="395" t="s">
        <v>5668</v>
      </c>
      <c r="N77" s="394" t="s">
        <v>1300</v>
      </c>
      <c r="O77" s="395" t="s">
        <v>1301</v>
      </c>
      <c r="P77" s="394" t="s">
        <v>1216</v>
      </c>
      <c r="Q77" s="395" t="s">
        <v>1217</v>
      </c>
      <c r="R77" s="400" t="s">
        <v>1339</v>
      </c>
      <c r="S77" s="401" t="s">
        <v>1340</v>
      </c>
      <c r="T77" s="400" t="s">
        <v>1271</v>
      </c>
      <c r="U77" s="401" t="s">
        <v>1272</v>
      </c>
      <c r="V77" s="402" t="s">
        <v>1471</v>
      </c>
      <c r="W77" s="403" t="s">
        <v>5875</v>
      </c>
      <c r="X77" s="396" t="s">
        <v>1343</v>
      </c>
      <c r="Y77" s="397" t="s">
        <v>1344</v>
      </c>
      <c r="Z77" s="394" t="s">
        <v>5897</v>
      </c>
      <c r="AA77" s="394" t="s">
        <v>1362</v>
      </c>
      <c r="AB77" s="389"/>
      <c r="AE77" s="389"/>
      <c r="AF77" s="389"/>
      <c r="AG77" s="389"/>
      <c r="AH77" s="389"/>
      <c r="AI77" s="389"/>
      <c r="AJ77" s="389"/>
      <c r="AK77" s="389"/>
      <c r="AL77" s="389"/>
      <c r="AM77" s="389"/>
      <c r="AN77" s="389"/>
      <c r="AO77" s="390"/>
      <c r="BG77" s="15" t="s">
        <v>3607</v>
      </c>
      <c r="BH77" s="15">
        <v>13</v>
      </c>
      <c r="BI77" s="15">
        <v>14</v>
      </c>
      <c r="BJ77" s="15">
        <v>45</v>
      </c>
      <c r="BK77" s="15" cm="1">
        <f t="array" ref="BK77">_xlfn.IFS($AI$8&gt;=20,49,$AI$8&gt;=15,48,$AI$8&gt;=7,47,$AI$8&gt;=3,46,1,0)</f>
        <v>0</v>
      </c>
      <c r="BM77" s="16">
        <f>IFERROR(IF(BM76+1&gt;BQ2,IF(BM76+1&gt;BQ2,IF(BP3+BP76&gt;BQ3,"",BP3+BP76)),BM76+1),"")</f>
        <v>72</v>
      </c>
      <c r="BN77" s="16" t="str">
        <f>IFERROR(INDEX(B30:AO180,BM77,BN2),"")</f>
        <v/>
      </c>
      <c r="BO77" s="16" t="str">
        <f>IFERROR(INDEX(B30:AO180,BM77,BO2),"")</f>
        <v/>
      </c>
      <c r="BP77" s="16">
        <f>IFERROR(IF(BM76+1&gt;BQ2,BP76+1,0),"")</f>
        <v>0</v>
      </c>
      <c r="BS77" s="412" t="str">
        <f t="shared" si="3"/>
        <v/>
      </c>
      <c r="BT77" s="413" t="str" cm="1">
        <f t="array" ref="BT77">INDEX(BS:BS,SMALL(IF($BS$2:$BS$101&lt;&gt;"",ROW($BS$2:$BS$101),142),ROW(BS76)))&amp;""</f>
        <v/>
      </c>
    </row>
    <row r="78" spans="1:74" ht="16.5" customHeight="1">
      <c r="A78" s="233">
        <v>49</v>
      </c>
      <c r="B78" s="398" t="s">
        <v>1327</v>
      </c>
      <c r="C78" s="395" t="s">
        <v>5713</v>
      </c>
      <c r="D78" s="394" t="s">
        <v>1328</v>
      </c>
      <c r="E78" s="395" t="s">
        <v>5758</v>
      </c>
      <c r="F78" s="394" t="s">
        <v>1313</v>
      </c>
      <c r="G78" s="395" t="s">
        <v>5782</v>
      </c>
      <c r="H78" s="400" t="s">
        <v>1331</v>
      </c>
      <c r="I78" s="401" t="s">
        <v>5595</v>
      </c>
      <c r="J78" s="394" t="s">
        <v>104</v>
      </c>
      <c r="K78" s="395" t="s">
        <v>1213</v>
      </c>
      <c r="L78" s="394" t="s">
        <v>5665</v>
      </c>
      <c r="M78" s="395" t="s">
        <v>5666</v>
      </c>
      <c r="N78" s="394" t="s">
        <v>1318</v>
      </c>
      <c r="O78" s="395" t="s">
        <v>1319</v>
      </c>
      <c r="P78" s="394" t="s">
        <v>1234</v>
      </c>
      <c r="Q78" s="395" t="s">
        <v>1235</v>
      </c>
      <c r="R78" s="400" t="s">
        <v>353</v>
      </c>
      <c r="S78" s="401" t="s">
        <v>1357</v>
      </c>
      <c r="T78" s="400" t="s">
        <v>1289</v>
      </c>
      <c r="U78" s="401" t="s">
        <v>1290</v>
      </c>
      <c r="V78" s="402" t="s">
        <v>1548</v>
      </c>
      <c r="W78" s="403" t="s">
        <v>5880</v>
      </c>
      <c r="X78" s="394" t="s">
        <v>1360</v>
      </c>
      <c r="Y78" s="395" t="s">
        <v>1361</v>
      </c>
      <c r="Z78" s="394" t="s">
        <v>1379</v>
      </c>
      <c r="AA78" s="394" t="s">
        <v>5921</v>
      </c>
      <c r="AB78" s="389"/>
      <c r="AE78" s="389"/>
      <c r="AF78" s="389"/>
      <c r="AG78" s="389"/>
      <c r="AH78" s="389"/>
      <c r="AI78" s="389"/>
      <c r="AJ78" s="389"/>
      <c r="AK78" s="389"/>
      <c r="AL78" s="389"/>
      <c r="AM78" s="389"/>
      <c r="AN78" s="389"/>
      <c r="AO78" s="390"/>
      <c r="BG78" s="15" t="s">
        <v>3608</v>
      </c>
      <c r="BH78" s="15">
        <v>13</v>
      </c>
      <c r="BI78" s="15">
        <v>14</v>
      </c>
      <c r="BJ78" s="15">
        <v>50</v>
      </c>
      <c r="BK78" s="15" cm="1">
        <f t="array" ref="BK78">_xlfn.IFS($AI$8&gt;=20,54,$AI$8&gt;=15,53,$AI$8&gt;=7,52,$AI$8&gt;=3,51,1,0)</f>
        <v>0</v>
      </c>
      <c r="BM78" s="16">
        <f>IFERROR(IF(BM77+1&gt;BQ2,IF(BM77+1&gt;BQ2,IF(BP3+BP77&gt;BQ3,"",BP3+BP77)),BM77+1),"")</f>
        <v>73</v>
      </c>
      <c r="BN78" s="16" t="str">
        <f>IFERROR(INDEX(B30:AO180,BM78,BN2),"")</f>
        <v/>
      </c>
      <c r="BO78" s="16" t="str">
        <f>IFERROR(INDEX(B30:AO180,BM78,BO2),"")</f>
        <v/>
      </c>
      <c r="BP78" s="16">
        <f>IFERROR(IF(BM77+1&gt;BQ2,BP77+1,0),"")</f>
        <v>0</v>
      </c>
      <c r="BS78" s="412" t="str">
        <f t="shared" si="3"/>
        <v/>
      </c>
      <c r="BT78" s="413" t="str" cm="1">
        <f t="array" ref="BT78">INDEX(BS:BS,SMALL(IF($BS$2:$BS$101&lt;&gt;"",ROW($BS$2:$BS$101),142),ROW(BS77)))&amp;""</f>
        <v/>
      </c>
    </row>
    <row r="79" spans="1:74" ht="16.5" customHeight="1">
      <c r="A79" s="233">
        <v>50</v>
      </c>
      <c r="B79" s="398" t="s">
        <v>1346</v>
      </c>
      <c r="C79" s="395" t="s">
        <v>5714</v>
      </c>
      <c r="D79" s="394" t="s">
        <v>1347</v>
      </c>
      <c r="E79" s="395" t="s">
        <v>5759</v>
      </c>
      <c r="F79" s="394" t="s">
        <v>1329</v>
      </c>
      <c r="G79" s="395" t="s">
        <v>1330</v>
      </c>
      <c r="H79" s="400" t="s">
        <v>1350</v>
      </c>
      <c r="I79" s="401" t="s">
        <v>5596</v>
      </c>
      <c r="J79" s="394" t="s">
        <v>607</v>
      </c>
      <c r="K79" s="395" t="s">
        <v>1231</v>
      </c>
      <c r="L79" s="394" t="s">
        <v>5669</v>
      </c>
      <c r="M79" s="395" t="s">
        <v>5670</v>
      </c>
      <c r="N79" s="400" t="s">
        <v>4706</v>
      </c>
      <c r="O79" s="401" t="s">
        <v>1336</v>
      </c>
      <c r="P79" s="394" t="s">
        <v>1249</v>
      </c>
      <c r="Q79" s="395" t="s">
        <v>1250</v>
      </c>
      <c r="R79" s="400" t="s">
        <v>1373</v>
      </c>
      <c r="S79" s="401" t="s">
        <v>1374</v>
      </c>
      <c r="T79" s="400" t="s">
        <v>1306</v>
      </c>
      <c r="U79" s="401" t="s">
        <v>1307</v>
      </c>
      <c r="V79" s="402" t="s">
        <v>1580</v>
      </c>
      <c r="W79" s="403" t="s">
        <v>5884</v>
      </c>
      <c r="X79" s="394" t="s">
        <v>1377</v>
      </c>
      <c r="Y79" s="395" t="s">
        <v>1378</v>
      </c>
      <c r="Z79" s="394" t="s">
        <v>1399</v>
      </c>
      <c r="AA79" s="394" t="s">
        <v>5917</v>
      </c>
      <c r="AB79" s="389"/>
      <c r="AE79" s="389"/>
      <c r="AF79" s="389"/>
      <c r="AG79" s="389"/>
      <c r="AH79" s="389"/>
      <c r="AI79" s="389"/>
      <c r="AJ79" s="389"/>
      <c r="AK79" s="389"/>
      <c r="AL79" s="389"/>
      <c r="AM79" s="389"/>
      <c r="AN79" s="389"/>
      <c r="AO79" s="390"/>
      <c r="BG79" s="15" t="s">
        <v>3609</v>
      </c>
      <c r="BH79" s="15">
        <v>13</v>
      </c>
      <c r="BI79" s="15">
        <v>14</v>
      </c>
      <c r="BJ79" s="15">
        <v>55</v>
      </c>
      <c r="BK79" s="15" cm="1">
        <f t="array" ref="BK79">_xlfn.IFS($AI$8&gt;=20,59,$AI$8&gt;=15,58,$AI$8&gt;=7,57,$AI$8&gt;=3,56,1,0)</f>
        <v>0</v>
      </c>
      <c r="BM79" s="16">
        <f>IFERROR(IF(BM78+1&gt;BQ2,IF(BM78+1&gt;BQ2,IF(BP3+BP78&gt;BQ3,"",BP3+BP78)),BM78+1),"")</f>
        <v>74</v>
      </c>
      <c r="BN79" s="16" t="str">
        <f>IFERROR(INDEX(B30:AO180,BM79,BN2),"")</f>
        <v/>
      </c>
      <c r="BO79" s="16" t="str">
        <f>IFERROR(INDEX(B30:AO180,BM79,BO2),"")</f>
        <v/>
      </c>
      <c r="BP79" s="16">
        <f>IFERROR(IF(BM78+1&gt;BQ2,BP78+1,0),"")</f>
        <v>0</v>
      </c>
      <c r="BS79" s="412" t="str">
        <f t="shared" si="3"/>
        <v/>
      </c>
      <c r="BT79" s="413" t="str" cm="1">
        <f t="array" ref="BT79">INDEX(BS:BS,SMALL(IF($BS$2:$BS$101&lt;&gt;"",ROW($BS$2:$BS$101),142),ROW(BS78)))&amp;""</f>
        <v/>
      </c>
    </row>
    <row r="80" spans="1:74" ht="16.5" customHeight="1" thickBot="1">
      <c r="A80" s="233">
        <v>51</v>
      </c>
      <c r="B80" s="398" t="s">
        <v>1363</v>
      </c>
      <c r="C80" s="395" t="s">
        <v>5715</v>
      </c>
      <c r="D80" s="394" t="s">
        <v>1364</v>
      </c>
      <c r="E80" s="395" t="s">
        <v>5760</v>
      </c>
      <c r="F80" s="394" t="s">
        <v>1348</v>
      </c>
      <c r="G80" s="395" t="s">
        <v>1349</v>
      </c>
      <c r="H80" s="394" t="s">
        <v>1365</v>
      </c>
      <c r="I80" s="395" t="s">
        <v>1366</v>
      </c>
      <c r="J80" s="394" t="s">
        <v>609</v>
      </c>
      <c r="K80" s="395" t="s">
        <v>1247</v>
      </c>
      <c r="L80" s="394" t="s">
        <v>5671</v>
      </c>
      <c r="M80" s="395" t="s">
        <v>5672</v>
      </c>
      <c r="N80" s="400" t="s">
        <v>4707</v>
      </c>
      <c r="O80" s="401" t="s">
        <v>1354</v>
      </c>
      <c r="P80" s="394" t="s">
        <v>1267</v>
      </c>
      <c r="Q80" s="395" t="s">
        <v>1268</v>
      </c>
      <c r="R80" s="400" t="s">
        <v>1392</v>
      </c>
      <c r="S80" s="401" t="s">
        <v>1393</v>
      </c>
      <c r="T80" s="394" t="s">
        <v>1322</v>
      </c>
      <c r="U80" s="395" t="s">
        <v>1323</v>
      </c>
      <c r="V80" s="406" t="s">
        <v>3738</v>
      </c>
      <c r="W80" s="407" t="s">
        <v>5888</v>
      </c>
      <c r="X80" s="394" t="s">
        <v>1397</v>
      </c>
      <c r="Y80" s="395" t="s">
        <v>1398</v>
      </c>
      <c r="Z80" s="394" t="s">
        <v>1420</v>
      </c>
      <c r="AA80" s="394" t="s">
        <v>5920</v>
      </c>
      <c r="AB80" s="389"/>
      <c r="AE80" s="389"/>
      <c r="AF80" s="389"/>
      <c r="AG80" s="389"/>
      <c r="AH80" s="389"/>
      <c r="AI80" s="389"/>
      <c r="AJ80" s="389"/>
      <c r="AK80" s="389"/>
      <c r="AL80" s="389"/>
      <c r="AM80" s="389"/>
      <c r="AN80" s="389"/>
      <c r="AO80" s="390"/>
      <c r="BG80" s="15" t="s">
        <v>3610</v>
      </c>
      <c r="BH80" s="15">
        <v>13</v>
      </c>
      <c r="BI80" s="15">
        <v>14</v>
      </c>
      <c r="BJ80" s="15">
        <v>60</v>
      </c>
      <c r="BK80" s="15" cm="1">
        <f t="array" ref="BK80">_xlfn.IFS($AI$8&gt;=20,64,$AI$8&gt;=15,63,$AI$8&gt;=7,62,$AI$8&gt;=3,61,1,0)</f>
        <v>0</v>
      </c>
      <c r="BM80" s="16">
        <f>IFERROR(IF(BM79+1&gt;BQ2,IF(BM79+1&gt;BQ2,IF(BP3+BP79&gt;BQ3,"",BP3+BP79)),BM79+1),"")</f>
        <v>75</v>
      </c>
      <c r="BN80" s="16" t="str">
        <f>IFERROR(INDEX(B30:AO180,BM80,BN2),"")</f>
        <v/>
      </c>
      <c r="BO80" s="16" t="str">
        <f>IFERROR(INDEX(B30:AO180,BM80,BO2),"")</f>
        <v/>
      </c>
      <c r="BP80" s="16">
        <f>IFERROR(IF(BM79+1&gt;BQ2,BP79+1,0),"")</f>
        <v>0</v>
      </c>
      <c r="BS80" s="412" t="str">
        <f t="shared" si="3"/>
        <v/>
      </c>
      <c r="BT80" s="413" t="str" cm="1">
        <f t="array" ref="BT80">INDEX(BS:BS,SMALL(IF($BS$2:$BS$101&lt;&gt;"",ROW($BS$2:$BS$101),142),ROW(BS79)))&amp;""</f>
        <v/>
      </c>
    </row>
    <row r="81" spans="1:72" ht="16.5" customHeight="1" thickTop="1">
      <c r="A81" s="233">
        <v>52</v>
      </c>
      <c r="B81" s="399" t="s">
        <v>5717</v>
      </c>
      <c r="C81" s="397" t="s">
        <v>5718</v>
      </c>
      <c r="D81" s="394" t="s">
        <v>5756</v>
      </c>
      <c r="E81" s="395" t="s">
        <v>5761</v>
      </c>
      <c r="F81" s="394" t="s">
        <v>1010</v>
      </c>
      <c r="G81" s="395" t="s">
        <v>5783</v>
      </c>
      <c r="H81" s="394" t="s">
        <v>1382</v>
      </c>
      <c r="I81" s="395" t="s">
        <v>1383</v>
      </c>
      <c r="J81" s="394" t="s">
        <v>1264</v>
      </c>
      <c r="K81" s="395" t="s">
        <v>1265</v>
      </c>
      <c r="L81" s="394" t="s">
        <v>5655</v>
      </c>
      <c r="M81" s="395" t="s">
        <v>5656</v>
      </c>
      <c r="N81" s="400" t="s">
        <v>1369</v>
      </c>
      <c r="O81" s="401" t="s">
        <v>1370</v>
      </c>
      <c r="P81" s="394" t="s">
        <v>1285</v>
      </c>
      <c r="Q81" s="395" t="s">
        <v>1286</v>
      </c>
      <c r="R81" s="400" t="s">
        <v>1413</v>
      </c>
      <c r="S81" s="401" t="s">
        <v>1414</v>
      </c>
      <c r="T81" s="394" t="s">
        <v>1341</v>
      </c>
      <c r="U81" s="395" t="s">
        <v>1342</v>
      </c>
      <c r="V81" s="406" t="s">
        <v>3743</v>
      </c>
      <c r="W81" s="407" t="s">
        <v>5893</v>
      </c>
      <c r="X81" s="394" t="s">
        <v>1418</v>
      </c>
      <c r="Y81" s="395" t="s">
        <v>1419</v>
      </c>
      <c r="Z81" s="394" t="s">
        <v>1438</v>
      </c>
      <c r="AA81" s="394" t="s">
        <v>5919</v>
      </c>
      <c r="AB81" s="389"/>
      <c r="AE81" s="389"/>
      <c r="AF81" s="389"/>
      <c r="AG81" s="389"/>
      <c r="AH81" s="389"/>
      <c r="AI81" s="389"/>
      <c r="AJ81" s="389"/>
      <c r="AK81" s="389"/>
      <c r="AL81" s="389"/>
      <c r="AM81" s="389"/>
      <c r="AN81" s="389"/>
      <c r="AO81" s="390"/>
      <c r="BG81" s="235" t="s">
        <v>4626</v>
      </c>
      <c r="BH81" s="235">
        <v>15</v>
      </c>
      <c r="BI81" s="235">
        <v>16</v>
      </c>
      <c r="BJ81" s="235">
        <v>26</v>
      </c>
      <c r="BK81" s="235" cm="1">
        <f t="array" ref="BK81">_xlfn.IFS($AI$9&gt;=15,29,$AI$9&gt;=11,28,$AI$9&gt;=7,27,$AI$9&gt;=3,26,1,0)</f>
        <v>0</v>
      </c>
      <c r="BM81" s="16">
        <f>IFERROR(IF(BM80+1&gt;BQ2,IF(BM80+1&gt;BQ2,IF(BP3+BP80&gt;BQ3,"",BP3+BP80)),BM80+1),"")</f>
        <v>76</v>
      </c>
      <c r="BN81" s="16" t="str">
        <f>IFERROR(INDEX(B30:AO180,BM81,BN2),"")</f>
        <v/>
      </c>
      <c r="BO81" s="16" t="str">
        <f>IFERROR(INDEX(B30:AO180,BM81,BO2),"")</f>
        <v/>
      </c>
      <c r="BP81" s="16">
        <f>IFERROR(IF(BM80+1&gt;BQ2,BP80+1,0),"")</f>
        <v>0</v>
      </c>
      <c r="BS81" s="412" t="str">
        <f t="shared" si="3"/>
        <v/>
      </c>
      <c r="BT81" s="413" t="str" cm="1">
        <f t="array" ref="BT81">INDEX(BS:BS,SMALL(IF($BS$2:$BS$101&lt;&gt;"",ROW($BS$2:$BS$101),142),ROW(BS80)))&amp;""</f>
        <v/>
      </c>
    </row>
    <row r="82" spans="1:72" ht="16.5" customHeight="1">
      <c r="A82" s="233">
        <v>53</v>
      </c>
      <c r="B82" s="399" t="s">
        <v>1400</v>
      </c>
      <c r="C82" s="397" t="s">
        <v>5719</v>
      </c>
      <c r="D82" s="400" t="s">
        <v>4577</v>
      </c>
      <c r="E82" s="401" t="s">
        <v>5762</v>
      </c>
      <c r="F82" s="394" t="s">
        <v>1380</v>
      </c>
      <c r="G82" s="395" t="s">
        <v>1381</v>
      </c>
      <c r="H82" s="394" t="s">
        <v>1403</v>
      </c>
      <c r="I82" s="395" t="s">
        <v>1404</v>
      </c>
      <c r="J82" s="394" t="s">
        <v>1281</v>
      </c>
      <c r="K82" s="395" t="s">
        <v>1282</v>
      </c>
      <c r="L82" s="394" t="s">
        <v>5661</v>
      </c>
      <c r="M82" s="395" t="s">
        <v>5662</v>
      </c>
      <c r="N82" s="400" t="s">
        <v>1388</v>
      </c>
      <c r="O82" s="401" t="s">
        <v>1389</v>
      </c>
      <c r="P82" s="400" t="s">
        <v>1302</v>
      </c>
      <c r="Q82" s="401" t="s">
        <v>1303</v>
      </c>
      <c r="R82" s="394" t="s">
        <v>1432</v>
      </c>
      <c r="S82" s="395" t="s">
        <v>1433</v>
      </c>
      <c r="T82" s="394" t="s">
        <v>1358</v>
      </c>
      <c r="U82" s="395" t="s">
        <v>1359</v>
      </c>
      <c r="V82" s="388" t="s">
        <v>3642</v>
      </c>
      <c r="W82" s="387" t="s">
        <v>5844</v>
      </c>
      <c r="X82" s="394" t="s">
        <v>1436</v>
      </c>
      <c r="Y82" s="395" t="s">
        <v>1437</v>
      </c>
      <c r="Z82" s="394" t="s">
        <v>1456</v>
      </c>
      <c r="AA82" s="394" t="s">
        <v>5918</v>
      </c>
      <c r="AB82" s="389"/>
      <c r="AE82" s="389"/>
      <c r="AF82" s="389"/>
      <c r="AG82" s="389"/>
      <c r="AH82" s="389"/>
      <c r="AI82" s="389"/>
      <c r="AJ82" s="389"/>
      <c r="AK82" s="389"/>
      <c r="AL82" s="389"/>
      <c r="AM82" s="389"/>
      <c r="AN82" s="389"/>
      <c r="AO82" s="390"/>
      <c r="BG82" s="15" t="s">
        <v>497</v>
      </c>
      <c r="BH82" s="15">
        <v>15</v>
      </c>
      <c r="BI82" s="15">
        <v>16</v>
      </c>
      <c r="BJ82" s="15">
        <v>30</v>
      </c>
      <c r="BK82" s="15" cm="1">
        <f t="array" ref="BK82">_xlfn.IFS($AI$9&gt;=15,34,$AI$9&gt;=11,33,$AI$9&gt;=7,32,$AI$9&gt;=3,31,1,0)</f>
        <v>0</v>
      </c>
      <c r="BM82" s="16">
        <f>IFERROR(IF(BM81+1&gt;BQ2,IF(BM81+1&gt;BQ2,IF(BP3+BP81&gt;BQ3,"",BP3+BP81)),BM81+1),"")</f>
        <v>77</v>
      </c>
      <c r="BN82" s="16" t="str">
        <f>IFERROR(INDEX(B30:AO180,BM82,BN2),"")</f>
        <v/>
      </c>
      <c r="BO82" s="16" t="str">
        <f>IFERROR(INDEX(B30:AO180,BM82,BO2),"")</f>
        <v/>
      </c>
      <c r="BP82" s="16">
        <f>IFERROR(IF(BM81+1&gt;BQ2,BP81+1,0),"")</f>
        <v>0</v>
      </c>
      <c r="BS82" s="412" t="str">
        <f t="shared" si="3"/>
        <v/>
      </c>
      <c r="BT82" s="413" t="str" cm="1">
        <f t="array" ref="BT82">INDEX(BS:BS,SMALL(IF($BS$2:$BS$101&lt;&gt;"",ROW($BS$2:$BS$101),142),ROW(BS81)))&amp;""</f>
        <v/>
      </c>
    </row>
    <row r="83" spans="1:72" ht="16.5" customHeight="1">
      <c r="A83" s="233">
        <v>54</v>
      </c>
      <c r="B83" s="404" t="s">
        <v>1421</v>
      </c>
      <c r="C83" s="397" t="s">
        <v>5720</v>
      </c>
      <c r="D83" s="400" t="s">
        <v>4578</v>
      </c>
      <c r="E83" s="401" t="s">
        <v>5763</v>
      </c>
      <c r="F83" s="396" t="s">
        <v>1401</v>
      </c>
      <c r="G83" s="397" t="s">
        <v>1402</v>
      </c>
      <c r="H83" s="394" t="s">
        <v>1423</v>
      </c>
      <c r="I83" s="395" t="s">
        <v>1424</v>
      </c>
      <c r="J83" s="394" t="s">
        <v>1296</v>
      </c>
      <c r="K83" s="395" t="s">
        <v>1297</v>
      </c>
      <c r="L83" s="394" t="s">
        <v>5673</v>
      </c>
      <c r="M83" s="395" t="s">
        <v>5674</v>
      </c>
      <c r="N83" s="400" t="s">
        <v>1409</v>
      </c>
      <c r="O83" s="401" t="s">
        <v>1410</v>
      </c>
      <c r="P83" s="400" t="s">
        <v>5895</v>
      </c>
      <c r="Q83" s="401" t="s">
        <v>5896</v>
      </c>
      <c r="R83" s="394" t="s">
        <v>1449</v>
      </c>
      <c r="S83" s="395" t="s">
        <v>1450</v>
      </c>
      <c r="T83" s="394" t="s">
        <v>1375</v>
      </c>
      <c r="U83" s="395" t="s">
        <v>1376</v>
      </c>
      <c r="V83" s="388" t="s">
        <v>3646</v>
      </c>
      <c r="W83" s="387" t="s">
        <v>5848</v>
      </c>
      <c r="X83" s="396" t="s">
        <v>1454</v>
      </c>
      <c r="Y83" s="397" t="s">
        <v>1455</v>
      </c>
      <c r="Z83" s="400" t="s">
        <v>5897</v>
      </c>
      <c r="AA83" s="400" t="s">
        <v>1474</v>
      </c>
      <c r="AB83" s="389"/>
      <c r="AE83" s="389"/>
      <c r="AF83" s="389"/>
      <c r="AG83" s="389"/>
      <c r="AH83" s="389"/>
      <c r="AI83" s="389"/>
      <c r="AJ83" s="389"/>
      <c r="AK83" s="389"/>
      <c r="AL83" s="389"/>
      <c r="AM83" s="389"/>
      <c r="AN83" s="389"/>
      <c r="AO83" s="390"/>
      <c r="BG83" s="15" t="s">
        <v>498</v>
      </c>
      <c r="BH83" s="15">
        <v>15</v>
      </c>
      <c r="BI83" s="15">
        <v>16</v>
      </c>
      <c r="BJ83" s="15">
        <v>35</v>
      </c>
      <c r="BK83" s="15" cm="1">
        <f t="array" ref="BK83">_xlfn.IFS($AI$9&gt;=15,40,$AI$9&gt;=11,39,$AI$9&gt;=7,38,$AI$9&gt;=3,37,1,0)</f>
        <v>0</v>
      </c>
      <c r="BM83" s="16">
        <f>IFERROR(IF(BM82+1&gt;BQ2,IF(BM82+1&gt;BQ2,IF(BP3+BP82&gt;BQ3,"",BP3+BP82)),BM82+1),"")</f>
        <v>78</v>
      </c>
      <c r="BN83" s="16" t="str">
        <f>IFERROR(INDEX(B30:AO180,BM83,BN2),"")</f>
        <v/>
      </c>
      <c r="BO83" s="16" t="str">
        <f>IFERROR(INDEX(B30:AO180,BM83,BO2),"")</f>
        <v/>
      </c>
      <c r="BP83" s="16">
        <f>IFERROR(IF(BM82+1&gt;BQ2,BP82+1,0),"")</f>
        <v>0</v>
      </c>
      <c r="BS83" s="412" t="str">
        <f t="shared" si="3"/>
        <v/>
      </c>
      <c r="BT83" s="413" t="str" cm="1">
        <f t="array" ref="BT83">INDEX(BS:BS,SMALL(IF($BS$2:$BS$101&lt;&gt;"",ROW($BS$2:$BS$101),142),ROW(BS82)))&amp;""</f>
        <v/>
      </c>
    </row>
    <row r="84" spans="1:72" ht="16.5" customHeight="1">
      <c r="A84" s="233">
        <v>55</v>
      </c>
      <c r="B84" s="399" t="s">
        <v>5716</v>
      </c>
      <c r="C84" s="397" t="s">
        <v>5721</v>
      </c>
      <c r="D84" s="400" t="s">
        <v>4579</v>
      </c>
      <c r="E84" s="401" t="s">
        <v>5764</v>
      </c>
      <c r="F84" s="396" t="s">
        <v>1422</v>
      </c>
      <c r="G84" s="397" t="s">
        <v>5784</v>
      </c>
      <c r="H84" s="394" t="s">
        <v>1440</v>
      </c>
      <c r="I84" s="395" t="s">
        <v>1441</v>
      </c>
      <c r="J84" s="394" t="s">
        <v>1315</v>
      </c>
      <c r="K84" s="395" t="s">
        <v>1316</v>
      </c>
      <c r="L84" s="394" t="s">
        <v>5677</v>
      </c>
      <c r="M84" s="395" t="s">
        <v>5678</v>
      </c>
      <c r="N84" s="394" t="s">
        <v>4708</v>
      </c>
      <c r="O84" s="395" t="s">
        <v>1429</v>
      </c>
      <c r="P84" s="400" t="s">
        <v>1337</v>
      </c>
      <c r="Q84" s="401" t="s">
        <v>1338</v>
      </c>
      <c r="R84" s="394" t="s">
        <v>1467</v>
      </c>
      <c r="S84" s="395" t="s">
        <v>1468</v>
      </c>
      <c r="T84" s="394" t="s">
        <v>1394</v>
      </c>
      <c r="U84" s="395" t="s">
        <v>1395</v>
      </c>
      <c r="V84" s="388" t="s">
        <v>3661</v>
      </c>
      <c r="W84" s="387" t="s">
        <v>5863</v>
      </c>
      <c r="X84" s="396" t="s">
        <v>1472</v>
      </c>
      <c r="Y84" s="397" t="s">
        <v>1473</v>
      </c>
      <c r="Z84" s="400" t="s">
        <v>1490</v>
      </c>
      <c r="AA84" s="400" t="s">
        <v>1491</v>
      </c>
      <c r="AB84" s="389"/>
      <c r="AC84" s="389"/>
      <c r="AD84" s="389"/>
      <c r="AE84" s="389"/>
      <c r="AF84" s="389"/>
      <c r="AG84" s="389"/>
      <c r="AH84" s="389"/>
      <c r="AI84" s="389"/>
      <c r="AJ84" s="389"/>
      <c r="AK84" s="389"/>
      <c r="AL84" s="389"/>
      <c r="AM84" s="389"/>
      <c r="AN84" s="389"/>
      <c r="AO84" s="390"/>
      <c r="BG84" s="15" t="s">
        <v>499</v>
      </c>
      <c r="BH84" s="15">
        <v>15</v>
      </c>
      <c r="BI84" s="15">
        <v>16</v>
      </c>
      <c r="BJ84" s="15">
        <v>41</v>
      </c>
      <c r="BK84" s="15" cm="1">
        <f t="array" ref="BK84">_xlfn.IFS($AI$9&gt;=15,46,$AI$9&gt;=11,45,$AI$9&gt;=7,44,$AI$9&gt;=3,43,1,0)</f>
        <v>0</v>
      </c>
      <c r="BM84" s="16">
        <f>IFERROR(IF(BM83+1&gt;BQ2,IF(BM83+1&gt;BQ2,IF(BP3+BP83&gt;BQ3,"",BP3+BP83)),BM83+1),"")</f>
        <v>79</v>
      </c>
      <c r="BN84" s="16" t="str">
        <f>IFERROR(INDEX(B30:AO180,BM84,BN2),"")</f>
        <v/>
      </c>
      <c r="BO84" s="16" t="str">
        <f>IFERROR(INDEX(B30:AO180,BM84,BO2),"")</f>
        <v/>
      </c>
      <c r="BP84" s="16">
        <f>IFERROR(IF(BM83+1&gt;BQ2,BP83+1,0),"")</f>
        <v>0</v>
      </c>
      <c r="BS84" s="412" t="str">
        <f t="shared" si="3"/>
        <v/>
      </c>
      <c r="BT84" s="413" t="str" cm="1">
        <f t="array" ref="BT84">INDEX(BS:BS,SMALL(IF($BS$2:$BS$101&lt;&gt;"",ROW($BS$2:$BS$101),142),ROW(BS83)))&amp;""</f>
        <v/>
      </c>
    </row>
    <row r="85" spans="1:72" ht="16.5" customHeight="1">
      <c r="A85" s="233">
        <v>56</v>
      </c>
      <c r="B85" s="399" t="s">
        <v>1457</v>
      </c>
      <c r="C85" s="397" t="s">
        <v>5722</v>
      </c>
      <c r="D85" s="400" t="s">
        <v>4580</v>
      </c>
      <c r="E85" s="401" t="s">
        <v>4581</v>
      </c>
      <c r="F85" s="396" t="s">
        <v>1439</v>
      </c>
      <c r="G85" s="397" t="s">
        <v>5785</v>
      </c>
      <c r="H85" s="389"/>
      <c r="I85" s="389"/>
      <c r="J85" s="394" t="s">
        <v>1332</v>
      </c>
      <c r="K85" s="395" t="s">
        <v>1333</v>
      </c>
      <c r="L85" s="400" t="s">
        <v>1386</v>
      </c>
      <c r="M85" s="401" t="s">
        <v>1387</v>
      </c>
      <c r="N85" s="394" t="s">
        <v>4709</v>
      </c>
      <c r="O85" s="395" t="s">
        <v>1446</v>
      </c>
      <c r="P85" s="400" t="s">
        <v>1355</v>
      </c>
      <c r="Q85" s="401" t="s">
        <v>1356</v>
      </c>
      <c r="R85" s="394" t="s">
        <v>1483</v>
      </c>
      <c r="S85" s="395" t="s">
        <v>1484</v>
      </c>
      <c r="T85" s="394" t="s">
        <v>1415</v>
      </c>
      <c r="U85" s="395" t="s">
        <v>1416</v>
      </c>
      <c r="V85" s="402" t="s">
        <v>1453</v>
      </c>
      <c r="W85" s="403" t="s">
        <v>5874</v>
      </c>
      <c r="X85" s="396" t="s">
        <v>1488</v>
      </c>
      <c r="Y85" s="397" t="s">
        <v>1489</v>
      </c>
      <c r="Z85" s="400" t="s">
        <v>1507</v>
      </c>
      <c r="AA85" s="400" t="s">
        <v>1508</v>
      </c>
      <c r="AB85" s="389"/>
      <c r="AC85" s="389"/>
      <c r="AD85" s="389"/>
      <c r="AE85" s="389"/>
      <c r="AF85" s="389"/>
      <c r="AG85" s="389"/>
      <c r="AH85" s="389"/>
      <c r="AI85" s="389"/>
      <c r="AJ85" s="389"/>
      <c r="AK85" s="389"/>
      <c r="AL85" s="389"/>
      <c r="AM85" s="389"/>
      <c r="AN85" s="389"/>
      <c r="AO85" s="390"/>
      <c r="BG85" s="15" t="s">
        <v>500</v>
      </c>
      <c r="BH85" s="15">
        <v>15</v>
      </c>
      <c r="BI85" s="15">
        <v>16</v>
      </c>
      <c r="BJ85" s="15">
        <v>47</v>
      </c>
      <c r="BK85" s="15" cm="1">
        <f t="array" ref="BK85">_xlfn.IFS($AI$9&gt;=15,52,$AI$9&gt;=11,51,$AI$9&gt;=7,50,$AI$9&gt;=3,49,1,0)</f>
        <v>0</v>
      </c>
      <c r="BM85" s="16">
        <f>IFERROR(IF(BM84+1&gt;BQ2,IF(BM84+1&gt;BQ2,IF(BP3+BP84&gt;BQ3,"",BP3+BP84)),BM84+1),"")</f>
        <v>80</v>
      </c>
      <c r="BN85" s="16" t="str">
        <f>IFERROR(INDEX(B30:AO180,BM85,BN2),"")</f>
        <v/>
      </c>
      <c r="BO85" s="16" t="str">
        <f>IFERROR(INDEX(B30:AO180,BM85,BO2),"")</f>
        <v/>
      </c>
      <c r="BP85" s="16">
        <f>IFERROR(IF(BM84+1&gt;BQ2,BP84+1,0),"")</f>
        <v>0</v>
      </c>
      <c r="BS85" s="412" t="str">
        <f t="shared" si="3"/>
        <v/>
      </c>
      <c r="BT85" s="413" t="str" cm="1">
        <f t="array" ref="BT85">INDEX(BS:BS,SMALL(IF($BS$2:$BS$101&lt;&gt;"",ROW($BS$2:$BS$101),142),ROW(BS84)))&amp;""</f>
        <v/>
      </c>
    </row>
    <row r="86" spans="1:72" ht="16.5" customHeight="1">
      <c r="A86" s="233">
        <v>57</v>
      </c>
      <c r="B86" s="398" t="s">
        <v>4570</v>
      </c>
      <c r="C86" s="395" t="s">
        <v>5723</v>
      </c>
      <c r="D86" s="400" t="s">
        <v>4582</v>
      </c>
      <c r="E86" s="401" t="s">
        <v>5765</v>
      </c>
      <c r="F86" s="396" t="s">
        <v>1458</v>
      </c>
      <c r="G86" s="397" t="s">
        <v>5786</v>
      </c>
      <c r="H86" s="389"/>
      <c r="I86" s="389"/>
      <c r="J86" s="400" t="s">
        <v>1351</v>
      </c>
      <c r="K86" s="401" t="s">
        <v>1352</v>
      </c>
      <c r="L86" s="400" t="s">
        <v>1407</v>
      </c>
      <c r="M86" s="401" t="s">
        <v>1408</v>
      </c>
      <c r="N86" s="394" t="s">
        <v>1463</v>
      </c>
      <c r="O86" s="395" t="s">
        <v>1464</v>
      </c>
      <c r="P86" s="400" t="s">
        <v>1371</v>
      </c>
      <c r="Q86" s="401" t="s">
        <v>1372</v>
      </c>
      <c r="R86" s="394" t="s">
        <v>1500</v>
      </c>
      <c r="S86" s="395" t="s">
        <v>1501</v>
      </c>
      <c r="T86" s="400" t="s">
        <v>1434</v>
      </c>
      <c r="U86" s="401" t="s">
        <v>5605</v>
      </c>
      <c r="V86" s="402" t="s">
        <v>5881</v>
      </c>
      <c r="W86" s="403" t="s">
        <v>5882</v>
      </c>
      <c r="X86" s="396" t="s">
        <v>1505</v>
      </c>
      <c r="Y86" s="397" t="s">
        <v>1506</v>
      </c>
      <c r="Z86" s="400" t="s">
        <v>1523</v>
      </c>
      <c r="AA86" s="400" t="s">
        <v>1524</v>
      </c>
      <c r="AB86" s="389"/>
      <c r="AC86" s="389"/>
      <c r="AD86" s="389"/>
      <c r="AE86" s="389"/>
      <c r="AF86" s="389"/>
      <c r="AG86" s="389"/>
      <c r="AH86" s="389"/>
      <c r="AI86" s="389"/>
      <c r="AJ86" s="389"/>
      <c r="AK86" s="389"/>
      <c r="AL86" s="389"/>
      <c r="AM86" s="389"/>
      <c r="AN86" s="389"/>
      <c r="AO86" s="390"/>
      <c r="BG86" s="15" t="s">
        <v>5894</v>
      </c>
      <c r="BH86" s="15">
        <v>15</v>
      </c>
      <c r="BI86" s="15">
        <v>16</v>
      </c>
      <c r="BJ86" s="15">
        <v>53</v>
      </c>
      <c r="BK86" s="15" cm="1">
        <f t="array" ref="BK86">_xlfn.IFS($AI$9&gt;=15,57,$AI$9&gt;=11,56,$AI$9&gt;=7,55,$AI$9&gt;=3,54,1,0)</f>
        <v>0</v>
      </c>
      <c r="BM86" s="16">
        <f>IFERROR(IF(BM85+1&gt;BQ2,IF(BM85+1&gt;BQ2,IF(BP3+BP85&gt;BQ3,"",BP3+BP85)),BM85+1),"")</f>
        <v>81</v>
      </c>
      <c r="BN86" s="16" t="str">
        <f>IFERROR(INDEX(B30:AO180,BM86,BN2),"")</f>
        <v/>
      </c>
      <c r="BO86" s="16" t="str">
        <f>IFERROR(INDEX(B30:AO180,BM86,BO2),"")</f>
        <v/>
      </c>
      <c r="BP86" s="16">
        <f>IFERROR(IF(BM85+1&gt;BQ2,BP85+1,0),"")</f>
        <v>0</v>
      </c>
      <c r="BS86" s="412" t="str">
        <f t="shared" si="3"/>
        <v/>
      </c>
      <c r="BT86" s="413" t="str" cm="1">
        <f t="array" ref="BT86">INDEX(BS:BS,SMALL(IF($BS$2:$BS$101&lt;&gt;"",ROW($BS$2:$BS$101),142),ROW(BS85)))&amp;""</f>
        <v/>
      </c>
    </row>
    <row r="87" spans="1:72" ht="16.5" customHeight="1">
      <c r="A87" s="233">
        <v>58</v>
      </c>
      <c r="B87" s="398" t="s">
        <v>4571</v>
      </c>
      <c r="C87" s="395" t="s">
        <v>5724</v>
      </c>
      <c r="D87" s="400" t="s">
        <v>4583</v>
      </c>
      <c r="E87" s="401" t="s">
        <v>5766</v>
      </c>
      <c r="F87" s="396" t="s">
        <v>1010</v>
      </c>
      <c r="G87" s="397" t="s">
        <v>5787</v>
      </c>
      <c r="H87" s="389"/>
      <c r="I87" s="389"/>
      <c r="J87" s="400" t="s">
        <v>1367</v>
      </c>
      <c r="K87" s="401" t="s">
        <v>1368</v>
      </c>
      <c r="L87" s="400" t="s">
        <v>1427</v>
      </c>
      <c r="M87" s="401" t="s">
        <v>1428</v>
      </c>
      <c r="N87" s="394" t="s">
        <v>1479</v>
      </c>
      <c r="O87" s="395" t="s">
        <v>1480</v>
      </c>
      <c r="P87" s="394" t="s">
        <v>1390</v>
      </c>
      <c r="Q87" s="395" t="s">
        <v>1391</v>
      </c>
      <c r="R87" s="400" t="s">
        <v>1516</v>
      </c>
      <c r="S87" s="401" t="s">
        <v>1517</v>
      </c>
      <c r="T87" s="400" t="s">
        <v>1451</v>
      </c>
      <c r="U87" s="401" t="s">
        <v>1452</v>
      </c>
      <c r="V87" s="402" t="s">
        <v>1592</v>
      </c>
      <c r="W87" s="403" t="s">
        <v>5885</v>
      </c>
      <c r="X87" s="396" t="s">
        <v>1521</v>
      </c>
      <c r="Y87" s="397" t="s">
        <v>1522</v>
      </c>
      <c r="Z87" s="400" t="s">
        <v>647</v>
      </c>
      <c r="AA87" s="400" t="s">
        <v>657</v>
      </c>
      <c r="AB87" s="389"/>
      <c r="AC87" s="389"/>
      <c r="AD87" s="389"/>
      <c r="AE87" s="389"/>
      <c r="AF87" s="389"/>
      <c r="AG87" s="389"/>
      <c r="AH87" s="389"/>
      <c r="AI87" s="389"/>
      <c r="AJ87" s="389"/>
      <c r="AK87" s="389"/>
      <c r="AL87" s="389"/>
      <c r="AM87" s="389"/>
      <c r="AN87" s="389"/>
      <c r="AO87" s="390"/>
      <c r="BG87" s="15" t="s">
        <v>501</v>
      </c>
      <c r="BH87" s="15">
        <v>15</v>
      </c>
      <c r="BI87" s="15">
        <v>16</v>
      </c>
      <c r="BJ87" s="15">
        <v>58</v>
      </c>
      <c r="BK87" s="15" cm="1">
        <f t="array" ref="BK87">_xlfn.IFS($AI$9&gt;=15,63,$AI$9&gt;=11,62,$AI$9&gt;=7,61,$AI$9&gt;=3,60,1,0)</f>
        <v>0</v>
      </c>
      <c r="BM87" s="16">
        <f>IFERROR(IF(BM86+1&gt;BQ2,IF(BM86+1&gt;BQ2,IF(BP3+BP86&gt;BQ3,"",BP3+BP86)),BM86+1),"")</f>
        <v>82</v>
      </c>
      <c r="BN87" s="16" t="str">
        <f>IFERROR(INDEX(B30:AO180,BM87,BN2),"")</f>
        <v/>
      </c>
      <c r="BO87" s="16" t="str">
        <f>IFERROR(INDEX(B30:AO180,BM87,BO2),"")</f>
        <v/>
      </c>
      <c r="BP87" s="16">
        <f>IFERROR(IF(BM86+1&gt;BQ2,BP86+1,0),"")</f>
        <v>0</v>
      </c>
      <c r="BS87" s="412" t="str">
        <f t="shared" si="3"/>
        <v/>
      </c>
      <c r="BT87" s="413" t="str" cm="1">
        <f t="array" ref="BT87">INDEX(BS:BS,SMALL(IF($BS$2:$BS$101&lt;&gt;"",ROW($BS$2:$BS$101),142),ROW(BS86)))&amp;""</f>
        <v/>
      </c>
    </row>
    <row r="88" spans="1:72" ht="16.5" customHeight="1" thickBot="1">
      <c r="A88" s="233">
        <v>59</v>
      </c>
      <c r="B88" s="398" t="s">
        <v>4573</v>
      </c>
      <c r="C88" s="395" t="s">
        <v>5725</v>
      </c>
      <c r="D88" s="389"/>
      <c r="E88" s="389"/>
      <c r="F88" s="396" t="s">
        <v>1492</v>
      </c>
      <c r="G88" s="397" t="s">
        <v>1493</v>
      </c>
      <c r="H88" s="389"/>
      <c r="I88" s="389"/>
      <c r="J88" s="400" t="s">
        <v>1442</v>
      </c>
      <c r="K88" s="401" t="s">
        <v>1443</v>
      </c>
      <c r="L88" s="400" t="s">
        <v>1444</v>
      </c>
      <c r="M88" s="401" t="s">
        <v>1445</v>
      </c>
      <c r="N88" s="394" t="s">
        <v>1498</v>
      </c>
      <c r="O88" s="395" t="s">
        <v>1499</v>
      </c>
      <c r="P88" s="394" t="s">
        <v>1411</v>
      </c>
      <c r="Q88" s="395" t="s">
        <v>1412</v>
      </c>
      <c r="R88" s="400" t="s">
        <v>1531</v>
      </c>
      <c r="S88" s="401" t="s">
        <v>1532</v>
      </c>
      <c r="T88" s="400" t="s">
        <v>1469</v>
      </c>
      <c r="U88" s="401" t="s">
        <v>1470</v>
      </c>
      <c r="V88" s="406" t="s">
        <v>3741</v>
      </c>
      <c r="W88" s="407" t="s">
        <v>5891</v>
      </c>
      <c r="X88" s="394" t="s">
        <v>1535</v>
      </c>
      <c r="Y88" s="395" t="s">
        <v>1536</v>
      </c>
      <c r="Z88" s="400" t="s">
        <v>1551</v>
      </c>
      <c r="AA88" s="400" t="s">
        <v>1552</v>
      </c>
      <c r="AB88" s="389"/>
      <c r="AC88" s="389"/>
      <c r="AD88" s="389"/>
      <c r="AE88" s="389"/>
      <c r="AF88" s="389"/>
      <c r="AG88" s="389"/>
      <c r="AH88" s="389"/>
      <c r="AI88" s="389"/>
      <c r="AJ88" s="389"/>
      <c r="AK88" s="389"/>
      <c r="AL88" s="389"/>
      <c r="AM88" s="389"/>
      <c r="AN88" s="389"/>
      <c r="AO88" s="390"/>
      <c r="BG88" s="15" t="s">
        <v>4629</v>
      </c>
      <c r="BH88" s="15">
        <v>15</v>
      </c>
      <c r="BI88" s="15">
        <v>16</v>
      </c>
      <c r="BJ88" s="15">
        <v>64</v>
      </c>
      <c r="BK88" s="15" cm="1">
        <f t="array" ref="BK88">_xlfn.IFS($AI$9&gt;=15,69,$AI$9&gt;=11,68,$AI$9&gt;=7,67,$AI$9&gt;=3,66,1,0)</f>
        <v>0</v>
      </c>
      <c r="BM88" s="16">
        <f>IFERROR(IF(BM87+1&gt;BQ2,IF(BM87+1&gt;BQ2,IF(BP3+BP87&gt;BQ3,"",BP3+BP87)),BM87+1),"")</f>
        <v>83</v>
      </c>
      <c r="BN88" s="16" t="str">
        <f>IFERROR(INDEX(B30:AO180,BM88,BN2),"")</f>
        <v/>
      </c>
      <c r="BO88" s="16" t="str">
        <f>IFERROR(INDEX(B30:AO180,BM88,BO2),"")</f>
        <v/>
      </c>
      <c r="BP88" s="16">
        <f>IFERROR(IF(BM87+1&gt;BQ2,BP87+1,0),"")</f>
        <v>0</v>
      </c>
      <c r="BS88" s="412" t="str">
        <f t="shared" si="3"/>
        <v/>
      </c>
      <c r="BT88" s="413" t="str" cm="1">
        <f t="array" ref="BT88">INDEX(BS:BS,SMALL(IF($BS$2:$BS$101&lt;&gt;"",ROW($BS$2:$BS$101),142),ROW(BS87)))&amp;""</f>
        <v/>
      </c>
    </row>
    <row r="89" spans="1:72" ht="16.5" customHeight="1" thickTop="1">
      <c r="A89" s="233">
        <v>60</v>
      </c>
      <c r="B89" s="398" t="s">
        <v>4574</v>
      </c>
      <c r="C89" s="395" t="s">
        <v>5726</v>
      </c>
      <c r="D89" s="389"/>
      <c r="E89" s="389"/>
      <c r="F89" s="394" t="s">
        <v>1509</v>
      </c>
      <c r="G89" s="395" t="s">
        <v>1510</v>
      </c>
      <c r="H89" s="389"/>
      <c r="I89" s="389"/>
      <c r="J89" s="400" t="s">
        <v>1459</v>
      </c>
      <c r="K89" s="401" t="s">
        <v>1460</v>
      </c>
      <c r="L89" s="400" t="s">
        <v>1461</v>
      </c>
      <c r="M89" s="401" t="s">
        <v>1462</v>
      </c>
      <c r="N89" s="400" t="s">
        <v>4710</v>
      </c>
      <c r="O89" s="401" t="s">
        <v>1515</v>
      </c>
      <c r="P89" s="394" t="s">
        <v>1430</v>
      </c>
      <c r="Q89" s="395" t="s">
        <v>1431</v>
      </c>
      <c r="R89" s="400" t="s">
        <v>1544</v>
      </c>
      <c r="S89" s="401" t="s">
        <v>1545</v>
      </c>
      <c r="T89" s="400" t="s">
        <v>1485</v>
      </c>
      <c r="U89" s="401" t="s">
        <v>1486</v>
      </c>
      <c r="V89" s="388" t="s">
        <v>3639</v>
      </c>
      <c r="W89" s="387" t="s">
        <v>5841</v>
      </c>
      <c r="X89" s="394" t="s">
        <v>1549</v>
      </c>
      <c r="Y89" s="395" t="s">
        <v>1550</v>
      </c>
      <c r="Z89" s="400" t="s">
        <v>1567</v>
      </c>
      <c r="AA89" s="400" t="s">
        <v>1568</v>
      </c>
      <c r="AB89" s="389"/>
      <c r="AE89" s="389"/>
      <c r="AF89" s="389"/>
      <c r="AG89" s="389"/>
      <c r="AH89" s="389"/>
      <c r="AI89" s="389"/>
      <c r="AJ89" s="389"/>
      <c r="AK89" s="389"/>
      <c r="AL89" s="389"/>
      <c r="AM89" s="389"/>
      <c r="AN89" s="389"/>
      <c r="AO89" s="390"/>
      <c r="BG89" s="235" t="s">
        <v>502</v>
      </c>
      <c r="BH89" s="235">
        <v>17</v>
      </c>
      <c r="BI89" s="235">
        <v>18</v>
      </c>
      <c r="BJ89" s="235">
        <v>18</v>
      </c>
      <c r="BK89" s="235" cm="1">
        <f t="array" ref="BK89">_xlfn.IFS($AI$10&gt;=17,22,$AI$10&gt;=13,21,$AI$10&gt;=9,20,$AI$10&gt;=3,19,1,0)</f>
        <v>0</v>
      </c>
      <c r="BM89" s="16">
        <f>IFERROR(IF(BM88+1&gt;BQ2,IF(BM88+1&gt;BQ2,IF(BP3+BP88&gt;BQ3,"",BP3+BP88)),BM88+1),"")</f>
        <v>84</v>
      </c>
      <c r="BN89" s="16" t="str">
        <f>IFERROR(INDEX(B30:AO180,BM89,BN2),"")</f>
        <v/>
      </c>
      <c r="BO89" s="16" t="str">
        <f>IFERROR(INDEX(B30:AO180,BM89,BO2),"")</f>
        <v/>
      </c>
      <c r="BP89" s="16">
        <f>IFERROR(IF(BM88+1&gt;BQ2,BP88+1,0),"")</f>
        <v>0</v>
      </c>
      <c r="BS89" s="412" t="str">
        <f t="shared" si="3"/>
        <v/>
      </c>
      <c r="BT89" s="413" t="str" cm="1">
        <f t="array" ref="BT89">INDEX(BS:BS,SMALL(IF($BS$2:$BS$101&lt;&gt;"",ROW($BS$2:$BS$101),142),ROW(BS88)))&amp;""</f>
        <v/>
      </c>
    </row>
    <row r="90" spans="1:72" ht="16.5" customHeight="1">
      <c r="A90" s="233">
        <v>61</v>
      </c>
      <c r="B90" s="398" t="s">
        <v>4575</v>
      </c>
      <c r="C90" s="395" t="s">
        <v>5727</v>
      </c>
      <c r="D90" s="389"/>
      <c r="E90" s="389"/>
      <c r="F90" s="394" t="s">
        <v>1525</v>
      </c>
      <c r="G90" s="395" t="s">
        <v>1294</v>
      </c>
      <c r="H90" s="389"/>
      <c r="I90" s="389"/>
      <c r="J90" s="400" t="s">
        <v>1475</v>
      </c>
      <c r="K90" s="401" t="s">
        <v>1476</v>
      </c>
      <c r="L90" s="394" t="s">
        <v>1477</v>
      </c>
      <c r="M90" s="395" t="s">
        <v>1478</v>
      </c>
      <c r="N90" s="400" t="s">
        <v>4711</v>
      </c>
      <c r="O90" s="401" t="s">
        <v>1530</v>
      </c>
      <c r="P90" s="394" t="s">
        <v>1447</v>
      </c>
      <c r="Q90" s="395" t="s">
        <v>1448</v>
      </c>
      <c r="R90" s="400" t="s">
        <v>1560</v>
      </c>
      <c r="S90" s="401" t="s">
        <v>1561</v>
      </c>
      <c r="T90" s="400" t="s">
        <v>1502</v>
      </c>
      <c r="U90" s="401" t="s">
        <v>1503</v>
      </c>
      <c r="V90" s="388" t="s">
        <v>3655</v>
      </c>
      <c r="W90" s="387" t="s">
        <v>5857</v>
      </c>
      <c r="X90" s="394" t="s">
        <v>1565</v>
      </c>
      <c r="Y90" s="395" t="s">
        <v>1566</v>
      </c>
      <c r="Z90" s="394" t="s">
        <v>5897</v>
      </c>
      <c r="AA90" s="394" t="s">
        <v>1583</v>
      </c>
      <c r="AB90" s="389"/>
      <c r="AE90" s="389"/>
      <c r="AF90" s="389"/>
      <c r="AG90" s="389"/>
      <c r="AH90" s="389"/>
      <c r="AI90" s="389"/>
      <c r="AJ90" s="389"/>
      <c r="AK90" s="389"/>
      <c r="AL90" s="389"/>
      <c r="AM90" s="389"/>
      <c r="AN90" s="389"/>
      <c r="AO90" s="390"/>
      <c r="BG90" s="15" t="s">
        <v>503</v>
      </c>
      <c r="BH90" s="15">
        <v>17</v>
      </c>
      <c r="BI90" s="15">
        <v>18</v>
      </c>
      <c r="BJ90" s="15">
        <v>23</v>
      </c>
      <c r="BK90" s="15" cm="1">
        <f t="array" ref="BK90">_xlfn.IFS($AI$10&gt;=17,27,$AI$10&gt;=13,26,$AI$10&gt;=9,25,$AI$10&gt;=3,24,1,0)</f>
        <v>0</v>
      </c>
      <c r="BM90" s="16">
        <f>IFERROR(IF(BM89+1&gt;BQ2,IF(BM89+1&gt;BQ2,IF(BP3+BP89&gt;BQ3,"",BP3+BP89)),BM89+1),"")</f>
        <v>85</v>
      </c>
      <c r="BN90" s="16" t="str">
        <f>IFERROR(INDEX(B30:AO180,BM90,BN2),"")</f>
        <v/>
      </c>
      <c r="BO90" s="16" t="str">
        <f>IFERROR(INDEX(B30:AO180,BM90,BO2),"")</f>
        <v/>
      </c>
      <c r="BP90" s="16">
        <f>IFERROR(IF(BM89+1&gt;BQ2,BP89+1,0),"")</f>
        <v>0</v>
      </c>
      <c r="BS90" s="412" t="str">
        <f t="shared" si="3"/>
        <v/>
      </c>
      <c r="BT90" s="413" t="str" cm="1">
        <f t="array" ref="BT90">INDEX(BS:BS,SMALL(IF($BS$2:$BS$101&lt;&gt;"",ROW($BS$2:$BS$101),142),ROW(BS89)))&amp;""</f>
        <v/>
      </c>
    </row>
    <row r="91" spans="1:72" ht="16.5" customHeight="1">
      <c r="A91" s="233">
        <v>62</v>
      </c>
      <c r="B91" s="405"/>
      <c r="C91" s="389"/>
      <c r="D91" s="389"/>
      <c r="E91" s="389"/>
      <c r="F91" s="394" t="s">
        <v>1537</v>
      </c>
      <c r="G91" s="395" t="s">
        <v>5788</v>
      </c>
      <c r="H91" s="389"/>
      <c r="I91" s="389"/>
      <c r="J91" s="400" t="s">
        <v>1494</v>
      </c>
      <c r="K91" s="401" t="s">
        <v>1495</v>
      </c>
      <c r="L91" s="394" t="s">
        <v>1496</v>
      </c>
      <c r="M91" s="395" t="s">
        <v>1497</v>
      </c>
      <c r="N91" s="400" t="s">
        <v>1542</v>
      </c>
      <c r="O91" s="401" t="s">
        <v>1543</v>
      </c>
      <c r="P91" s="394" t="s">
        <v>1465</v>
      </c>
      <c r="Q91" s="395" t="s">
        <v>1466</v>
      </c>
      <c r="R91" s="400" t="s">
        <v>1576</v>
      </c>
      <c r="S91" s="401" t="s">
        <v>1577</v>
      </c>
      <c r="T91" s="400" t="s">
        <v>1518</v>
      </c>
      <c r="U91" s="401" t="s">
        <v>1519</v>
      </c>
      <c r="V91" s="388" t="s">
        <v>3659</v>
      </c>
      <c r="W91" s="387" t="s">
        <v>5861</v>
      </c>
      <c r="X91" s="394" t="s">
        <v>1581</v>
      </c>
      <c r="Y91" s="395" t="s">
        <v>1582</v>
      </c>
      <c r="Z91" s="394" t="s">
        <v>1595</v>
      </c>
      <c r="AA91" s="394" t="s">
        <v>1596</v>
      </c>
      <c r="AB91" s="389"/>
      <c r="AE91" s="389"/>
      <c r="AF91" s="389"/>
      <c r="AG91" s="389"/>
      <c r="AH91" s="389"/>
      <c r="AI91" s="389"/>
      <c r="AJ91" s="389"/>
      <c r="AK91" s="389"/>
      <c r="AL91" s="389"/>
      <c r="AM91" s="389"/>
      <c r="AN91" s="389"/>
      <c r="AO91" s="390"/>
      <c r="BG91" s="15" t="s">
        <v>504</v>
      </c>
      <c r="BH91" s="15">
        <v>17</v>
      </c>
      <c r="BI91" s="15">
        <v>18</v>
      </c>
      <c r="BJ91" s="15">
        <v>28</v>
      </c>
      <c r="BK91" s="15" cm="1">
        <f t="array" ref="BK91">_xlfn.IFS($AI$10&gt;=17,36,$AI$10&gt;=13,35,$AI$10&gt;=9,34,$AI$10&gt;=3,33,1,0)</f>
        <v>0</v>
      </c>
      <c r="BM91" s="16">
        <f>IFERROR(IF(BM90+1&gt;BQ2,IF(BM90+1&gt;BQ2,IF(BP3+BP90&gt;BQ3,"",BP3+BP90)),BM90+1),"")</f>
        <v>86</v>
      </c>
      <c r="BN91" s="16" t="str">
        <f>IFERROR(INDEX(B30:AO180,BM91,BN2),"")</f>
        <v/>
      </c>
      <c r="BO91" s="16" t="str">
        <f>IFERROR(INDEX(B30:AO180,BM91,BO2),"")</f>
        <v/>
      </c>
      <c r="BP91" s="16">
        <f>IFERROR(IF(BM90+1&gt;BQ2,BP90+1,0),"")</f>
        <v>0</v>
      </c>
      <c r="BS91" s="412" t="str">
        <f t="shared" si="3"/>
        <v/>
      </c>
      <c r="BT91" s="413" t="str" cm="1">
        <f t="array" ref="BT91">INDEX(BS:BS,SMALL(IF($BS$2:$BS$101&lt;&gt;"",ROW($BS$2:$BS$101),142),ROW(BS90)))&amp;""</f>
        <v/>
      </c>
    </row>
    <row r="92" spans="1:72" ht="16.5" customHeight="1">
      <c r="A92" s="233">
        <v>63</v>
      </c>
      <c r="B92" s="405"/>
      <c r="C92" s="389"/>
      <c r="D92" s="389"/>
      <c r="E92" s="389"/>
      <c r="F92" s="394" t="s">
        <v>1553</v>
      </c>
      <c r="G92" s="395" t="s">
        <v>5789</v>
      </c>
      <c r="H92" s="389"/>
      <c r="I92" s="389"/>
      <c r="J92" s="400" t="s">
        <v>1511</v>
      </c>
      <c r="K92" s="401" t="s">
        <v>1512</v>
      </c>
      <c r="L92" s="394" t="s">
        <v>1513</v>
      </c>
      <c r="M92" s="395" t="s">
        <v>1514</v>
      </c>
      <c r="N92" s="400" t="s">
        <v>1558</v>
      </c>
      <c r="O92" s="401" t="s">
        <v>1559</v>
      </c>
      <c r="P92" s="394" t="s">
        <v>1481</v>
      </c>
      <c r="Q92" s="395" t="s">
        <v>1482</v>
      </c>
      <c r="R92" s="394" t="s">
        <v>1588</v>
      </c>
      <c r="S92" s="395" t="s">
        <v>1589</v>
      </c>
      <c r="T92" s="394" t="s">
        <v>1533</v>
      </c>
      <c r="U92" s="395" t="s">
        <v>5606</v>
      </c>
      <c r="V92" s="388" t="s">
        <v>3667</v>
      </c>
      <c r="W92" s="387" t="s">
        <v>5869</v>
      </c>
      <c r="X92" s="394" t="s">
        <v>1593</v>
      </c>
      <c r="Y92" s="395" t="s">
        <v>1594</v>
      </c>
      <c r="Z92" s="394" t="s">
        <v>1608</v>
      </c>
      <c r="AA92" s="394" t="s">
        <v>1609</v>
      </c>
      <c r="AB92" s="389"/>
      <c r="AE92" s="389"/>
      <c r="AF92" s="389"/>
      <c r="AG92" s="389"/>
      <c r="AH92" s="389"/>
      <c r="AI92" s="389"/>
      <c r="AJ92" s="389"/>
      <c r="AK92" s="389"/>
      <c r="AL92" s="389"/>
      <c r="AM92" s="389"/>
      <c r="AN92" s="389"/>
      <c r="AO92" s="390"/>
      <c r="BG92" s="15" t="s">
        <v>4642</v>
      </c>
      <c r="BH92" s="15">
        <v>17</v>
      </c>
      <c r="BI92" s="15">
        <v>18</v>
      </c>
      <c r="BJ92" s="15">
        <v>37</v>
      </c>
      <c r="BK92" s="15" cm="1">
        <f t="array" ref="BK92">_xlfn.IFS($AI$10&gt;=17,42,$AI$10&gt;=13,41,$AI$10&gt;=9,40,$AI$10&gt;=3,39,1,0)</f>
        <v>0</v>
      </c>
      <c r="BM92" s="16">
        <f>IFERROR(IF(BM91+1&gt;BQ2,IF(BM91+1&gt;BQ2,IF(BP3+BP91&gt;BQ3,"",BP3+BP91)),BM91+1),"")</f>
        <v>87</v>
      </c>
      <c r="BN92" s="16" t="str">
        <f>IFERROR(INDEX(B30:AO180,BM92,BN2),"")</f>
        <v/>
      </c>
      <c r="BO92" s="16" t="str">
        <f>IFERROR(INDEX(B30:AO180,BM92,BO2),"")</f>
        <v/>
      </c>
      <c r="BP92" s="16">
        <f>IFERROR(IF(BM91+1&gt;BQ2,BP91+1,0),"")</f>
        <v>0</v>
      </c>
      <c r="BS92" s="412" t="str">
        <f t="shared" si="3"/>
        <v/>
      </c>
      <c r="BT92" s="413" t="str" cm="1">
        <f t="array" ref="BT92">INDEX(BS:BS,SMALL(IF($BS$2:$BS$101&lt;&gt;"",ROW($BS$2:$BS$101),142),ROW(BS91)))&amp;""</f>
        <v/>
      </c>
    </row>
    <row r="93" spans="1:72" ht="16.5" customHeight="1">
      <c r="A93" s="233">
        <v>64</v>
      </c>
      <c r="B93" s="405"/>
      <c r="C93" s="389"/>
      <c r="D93" s="389"/>
      <c r="E93" s="389"/>
      <c r="F93" s="394" t="s">
        <v>1569</v>
      </c>
      <c r="G93" s="395" t="s">
        <v>1570</v>
      </c>
      <c r="H93" s="389"/>
      <c r="I93" s="389"/>
      <c r="J93" s="400" t="s">
        <v>1526</v>
      </c>
      <c r="K93" s="401" t="s">
        <v>1527</v>
      </c>
      <c r="L93" s="394" t="s">
        <v>1528</v>
      </c>
      <c r="M93" s="395" t="s">
        <v>1529</v>
      </c>
      <c r="N93" s="400" t="s">
        <v>1574</v>
      </c>
      <c r="O93" s="401" t="s">
        <v>1575</v>
      </c>
      <c r="P93" s="400" t="s">
        <v>4630</v>
      </c>
      <c r="Q93" s="401" t="s">
        <v>4631</v>
      </c>
      <c r="R93" s="394" t="s">
        <v>1603</v>
      </c>
      <c r="S93" s="395" t="s">
        <v>1604</v>
      </c>
      <c r="T93" s="394" t="s">
        <v>1546</v>
      </c>
      <c r="U93" s="395" t="s">
        <v>1547</v>
      </c>
      <c r="V93" s="406" t="s">
        <v>3739</v>
      </c>
      <c r="W93" s="407" t="s">
        <v>5889</v>
      </c>
      <c r="X93" s="400" t="s">
        <v>1606</v>
      </c>
      <c r="Y93" s="401" t="s">
        <v>1607</v>
      </c>
      <c r="Z93" s="394" t="s">
        <v>1622</v>
      </c>
      <c r="AA93" s="394" t="s">
        <v>1623</v>
      </c>
      <c r="AB93" s="389"/>
      <c r="AE93" s="389"/>
      <c r="AF93" s="389"/>
      <c r="AG93" s="389"/>
      <c r="AH93" s="389"/>
      <c r="AI93" s="389"/>
      <c r="AJ93" s="389"/>
      <c r="AK93" s="389"/>
      <c r="AL93" s="389"/>
      <c r="AM93" s="389"/>
      <c r="AN93" s="389"/>
      <c r="AO93" s="390"/>
      <c r="BG93" s="15" t="s">
        <v>505</v>
      </c>
      <c r="BH93" s="15">
        <v>17</v>
      </c>
      <c r="BI93" s="15">
        <v>18</v>
      </c>
      <c r="BJ93" s="15">
        <v>43</v>
      </c>
      <c r="BK93" s="15" cm="1">
        <f t="array" ref="BK93">_xlfn.IFS($AI$10&gt;=17,47,$AI$10&gt;=13,46,$AI$10&gt;=9,45,$AI$10&gt;=3,44,1,0)</f>
        <v>0</v>
      </c>
      <c r="BM93" s="16">
        <f>IFERROR(IF(BM92+1&gt;BQ2,IF(BM92+1&gt;BQ2,IF(BP3+BP92&gt;BQ3,"",BP3+BP92)),BM92+1),"")</f>
        <v>88</v>
      </c>
      <c r="BN93" s="16" t="str">
        <f>IFERROR(INDEX(B30:AO180,BM93,BN2),"")</f>
        <v/>
      </c>
      <c r="BO93" s="16" t="str">
        <f>IFERROR(INDEX(B30:AO180,BM93,BO2),"")</f>
        <v/>
      </c>
      <c r="BP93" s="16">
        <f>IFERROR(IF(BM92+1&gt;BQ2,BP92+1,0),"")</f>
        <v>0</v>
      </c>
      <c r="BS93" s="412" t="str">
        <f t="shared" si="3"/>
        <v/>
      </c>
      <c r="BT93" s="413" t="str" cm="1">
        <f t="array" ref="BT93">INDEX(BS:BS,SMALL(IF($BS$2:$BS$101&lt;&gt;"",ROW($BS$2:$BS$101),142),ROW(BS92)))&amp;""</f>
        <v/>
      </c>
    </row>
    <row r="94" spans="1:72" ht="16.5" customHeight="1">
      <c r="A94" s="233">
        <v>65</v>
      </c>
      <c r="B94" s="405"/>
      <c r="C94" s="389"/>
      <c r="D94" s="389"/>
      <c r="E94" s="389"/>
      <c r="F94" s="394" t="s">
        <v>1010</v>
      </c>
      <c r="G94" s="395" t="s">
        <v>5790</v>
      </c>
      <c r="H94" s="389"/>
      <c r="I94" s="389"/>
      <c r="J94" s="400" t="s">
        <v>1538</v>
      </c>
      <c r="K94" s="401" t="s">
        <v>1539</v>
      </c>
      <c r="L94" s="400" t="s">
        <v>1540</v>
      </c>
      <c r="M94" s="401" t="s">
        <v>1541</v>
      </c>
      <c r="N94" s="389"/>
      <c r="O94" s="389"/>
      <c r="P94" s="400" t="s">
        <v>4632</v>
      </c>
      <c r="Q94" s="401" t="s">
        <v>4633</v>
      </c>
      <c r="R94" s="394" t="s">
        <v>1616</v>
      </c>
      <c r="S94" s="395" t="s">
        <v>1617</v>
      </c>
      <c r="T94" s="394" t="s">
        <v>1562</v>
      </c>
      <c r="U94" s="395" t="s">
        <v>1563</v>
      </c>
      <c r="V94" s="393" t="s">
        <v>794</v>
      </c>
      <c r="W94" s="392" t="s">
        <v>5604</v>
      </c>
      <c r="X94" s="400" t="s">
        <v>1620</v>
      </c>
      <c r="Y94" s="401" t="s">
        <v>1621</v>
      </c>
      <c r="Z94" s="394" t="s">
        <v>1633</v>
      </c>
      <c r="AA94" s="394" t="s">
        <v>1634</v>
      </c>
      <c r="AB94" s="389"/>
      <c r="AE94" s="389"/>
      <c r="AF94" s="389"/>
      <c r="AG94" s="389"/>
      <c r="AH94" s="389"/>
      <c r="AI94" s="389"/>
      <c r="AJ94" s="389"/>
      <c r="AK94" s="389"/>
      <c r="AL94" s="389"/>
      <c r="AM94" s="389"/>
      <c r="AN94" s="389"/>
      <c r="AO94" s="390"/>
      <c r="BG94" s="15" t="s">
        <v>506</v>
      </c>
      <c r="BH94" s="15">
        <v>17</v>
      </c>
      <c r="BI94" s="15">
        <v>18</v>
      </c>
      <c r="BJ94" s="15">
        <v>48</v>
      </c>
      <c r="BK94" s="15" cm="1">
        <f t="array" ref="BK94">_xlfn.IFS($AI$10&gt;=17,52,$AI$10&gt;=13,51,$AI$10&gt;=9,50,$AI$10&gt;=3,49,1,0)</f>
        <v>0</v>
      </c>
      <c r="BM94" s="16">
        <f>IFERROR(IF(BM93+1&gt;BQ2,IF(BM93+1&gt;BQ2,IF(BP3+BP93&gt;BQ3,"",BP3+BP93)),BM93+1),"")</f>
        <v>89</v>
      </c>
      <c r="BN94" s="16" t="str">
        <f>IFERROR(INDEX(B30:AO180,BM94,BN2),"")</f>
        <v/>
      </c>
      <c r="BO94" s="16" t="str">
        <f>IFERROR(INDEX(B30:AO180,BM94,BO2),"")</f>
        <v/>
      </c>
      <c r="BP94" s="16">
        <f>IFERROR(IF(BM93+1&gt;BQ2,BP93+1,0),"")</f>
        <v>0</v>
      </c>
      <c r="BS94" s="412" t="str">
        <f t="shared" si="3"/>
        <v/>
      </c>
      <c r="BT94" s="413" t="str" cm="1">
        <f t="array" ref="BT94">INDEX(BS:BS,SMALL(IF($BS$2:$BS$101&lt;&gt;"",ROW($BS$2:$BS$101),142),ROW(BS93)))&amp;""</f>
        <v/>
      </c>
    </row>
    <row r="95" spans="1:72" ht="16.5" customHeight="1">
      <c r="A95" s="233">
        <v>66</v>
      </c>
      <c r="B95" s="405"/>
      <c r="C95" s="389"/>
      <c r="D95" s="389"/>
      <c r="E95" s="389"/>
      <c r="F95" s="394" t="s">
        <v>1597</v>
      </c>
      <c r="G95" s="395" t="s">
        <v>1598</v>
      </c>
      <c r="H95" s="389"/>
      <c r="I95" s="389"/>
      <c r="J95" s="400" t="s">
        <v>1554</v>
      </c>
      <c r="K95" s="401" t="s">
        <v>1555</v>
      </c>
      <c r="L95" s="400" t="s">
        <v>1556</v>
      </c>
      <c r="M95" s="401" t="s">
        <v>1557</v>
      </c>
      <c r="N95" s="389"/>
      <c r="O95" s="389"/>
      <c r="P95" s="400" t="s">
        <v>4634</v>
      </c>
      <c r="Q95" s="401" t="s">
        <v>4635</v>
      </c>
      <c r="R95" s="394" t="s">
        <v>1629</v>
      </c>
      <c r="S95" s="395" t="s">
        <v>6069</v>
      </c>
      <c r="T95" s="394" t="s">
        <v>1578</v>
      </c>
      <c r="U95" s="395" t="s">
        <v>1579</v>
      </c>
      <c r="V95" s="388" t="s">
        <v>3652</v>
      </c>
      <c r="W95" s="387" t="s">
        <v>5854</v>
      </c>
      <c r="X95" s="400" t="s">
        <v>647</v>
      </c>
      <c r="Y95" s="401" t="s">
        <v>1632</v>
      </c>
      <c r="Z95" s="394" t="s">
        <v>1645</v>
      </c>
      <c r="AA95" s="394" t="s">
        <v>1646</v>
      </c>
      <c r="AB95" s="389"/>
      <c r="AE95" s="389"/>
      <c r="AF95" s="389"/>
      <c r="AG95" s="389"/>
      <c r="AH95" s="389"/>
      <c r="AI95" s="389"/>
      <c r="AJ95" s="389"/>
      <c r="AK95" s="389"/>
      <c r="AL95" s="389"/>
      <c r="AM95" s="389"/>
      <c r="AN95" s="389"/>
      <c r="AO95" s="390"/>
      <c r="BG95" s="15" t="s">
        <v>507</v>
      </c>
      <c r="BH95" s="15">
        <v>17</v>
      </c>
      <c r="BI95" s="15">
        <v>18</v>
      </c>
      <c r="BJ95" s="15">
        <v>53</v>
      </c>
      <c r="BK95" s="15" cm="1">
        <f t="array" ref="BK95">_xlfn.IFS($AI$10&gt;=17,57,$AI$10&gt;=13,56,$AI$10&gt;=9,55,$AI$10&gt;=3,54,1,0)</f>
        <v>0</v>
      </c>
      <c r="BM95" s="16">
        <f>IFERROR(IF(BM94+1&gt;BQ2,IF(BM94+1&gt;BQ2,IF(BP3+BP94&gt;BQ3,"",BP3+BP94)),BM94+1),"")</f>
        <v>90</v>
      </c>
      <c r="BN95" s="16" t="str">
        <f>IFERROR(INDEX(B30:AO180,BM95,BN2),"")</f>
        <v/>
      </c>
      <c r="BO95" s="16" t="str">
        <f>IFERROR(INDEX(B30:AO180,BM95,BO2),"")</f>
        <v/>
      </c>
      <c r="BP95" s="16">
        <f>IFERROR(IF(BM94+1&gt;BQ2,BP94+1,0),"")</f>
        <v>0</v>
      </c>
      <c r="BS95" s="412" t="str">
        <f t="shared" si="3"/>
        <v/>
      </c>
      <c r="BT95" s="413" t="str" cm="1">
        <f t="array" ref="BT95">INDEX(BS:BS,SMALL(IF($BS$2:$BS$101&lt;&gt;"",ROW($BS$2:$BS$101),142),ROW(BS94)))&amp;""</f>
        <v/>
      </c>
    </row>
    <row r="96" spans="1:72" ht="16.5" customHeight="1">
      <c r="A96" s="233">
        <v>67</v>
      </c>
      <c r="B96" s="405"/>
      <c r="C96" s="389"/>
      <c r="D96" s="389"/>
      <c r="E96" s="389"/>
      <c r="F96" s="400" t="s">
        <v>1610</v>
      </c>
      <c r="G96" s="401" t="s">
        <v>1611</v>
      </c>
      <c r="H96" s="389"/>
      <c r="I96" s="389"/>
      <c r="J96" s="400" t="s">
        <v>1384</v>
      </c>
      <c r="K96" s="401" t="s">
        <v>1385</v>
      </c>
      <c r="L96" s="400" t="s">
        <v>1572</v>
      </c>
      <c r="M96" s="401" t="s">
        <v>1573</v>
      </c>
      <c r="N96" s="389"/>
      <c r="O96" s="389"/>
      <c r="P96" s="400" t="s">
        <v>4636</v>
      </c>
      <c r="Q96" s="401" t="s">
        <v>4637</v>
      </c>
      <c r="R96" s="394" t="s">
        <v>1640</v>
      </c>
      <c r="S96" s="395" t="s">
        <v>6070</v>
      </c>
      <c r="T96" s="394" t="s">
        <v>1590</v>
      </c>
      <c r="U96" s="395" t="s">
        <v>1591</v>
      </c>
      <c r="V96" s="406" t="s">
        <v>3736</v>
      </c>
      <c r="W96" s="407" t="s">
        <v>5886</v>
      </c>
      <c r="X96" s="400" t="s">
        <v>1643</v>
      </c>
      <c r="Y96" s="401" t="s">
        <v>1644</v>
      </c>
      <c r="Z96" s="394" t="s">
        <v>647</v>
      </c>
      <c r="AA96" s="394" t="s">
        <v>1656</v>
      </c>
      <c r="AB96" s="389"/>
      <c r="AE96" s="389"/>
      <c r="AF96" s="389"/>
      <c r="AG96" s="389"/>
      <c r="AH96" s="389"/>
      <c r="AI96" s="389"/>
      <c r="AJ96" s="389"/>
      <c r="AK96" s="389"/>
      <c r="AL96" s="389"/>
      <c r="AM96" s="389"/>
      <c r="AN96" s="389"/>
      <c r="AO96" s="390"/>
      <c r="BG96" s="15" t="s">
        <v>508</v>
      </c>
      <c r="BH96" s="15">
        <v>17</v>
      </c>
      <c r="BI96" s="15">
        <v>18</v>
      </c>
      <c r="BJ96" s="15">
        <v>58</v>
      </c>
      <c r="BK96" s="15" cm="1">
        <f t="array" ref="BK96">_xlfn.IFS($AI$10&gt;=17,62,$AI$10&gt;=13,61,$AI$10&gt;=9,60,$AI$10&gt;=3,59,1,0)</f>
        <v>0</v>
      </c>
      <c r="BM96" s="16">
        <f>IFERROR(IF(BM95+1&gt;BQ2,IF(BM95+1&gt;BQ2,IF(BP3+BP95&gt;BQ3,"",BP3+BP95)),BM95+1),"")</f>
        <v>91</v>
      </c>
      <c r="BN96" s="16" t="str">
        <f>IFERROR(INDEX(B30:AO180,BM96,BN2),"")</f>
        <v/>
      </c>
      <c r="BO96" s="16" t="str">
        <f>IFERROR(INDEX(B30:AO180,BM96,BO2),"")</f>
        <v/>
      </c>
      <c r="BP96" s="16">
        <f>IFERROR(IF(BM95+1&gt;BQ2,BP95+1,0),"")</f>
        <v>0</v>
      </c>
      <c r="BS96" s="412" t="str">
        <f t="shared" si="3"/>
        <v/>
      </c>
      <c r="BT96" s="413" t="str" cm="1">
        <f t="array" ref="BT96">INDEX(BS:BS,SMALL(IF($BS$2:$BS$101&lt;&gt;"",ROW($BS$2:$BS$101),142),ROW(BS95)))&amp;""</f>
        <v/>
      </c>
    </row>
    <row r="97" spans="1:72" ht="16.5" customHeight="1" thickBot="1">
      <c r="A97" s="233">
        <v>68</v>
      </c>
      <c r="B97" s="405"/>
      <c r="C97" s="389"/>
      <c r="D97" s="389"/>
      <c r="E97" s="389"/>
      <c r="F97" s="400" t="s">
        <v>884</v>
      </c>
      <c r="G97" s="401" t="s">
        <v>1624</v>
      </c>
      <c r="H97" s="389"/>
      <c r="I97" s="389"/>
      <c r="J97" s="400" t="s">
        <v>1405</v>
      </c>
      <c r="K97" s="401" t="s">
        <v>1406</v>
      </c>
      <c r="L97" s="400" t="s">
        <v>1586</v>
      </c>
      <c r="M97" s="401" t="s">
        <v>1587</v>
      </c>
      <c r="N97" s="389"/>
      <c r="O97" s="389"/>
      <c r="P97" s="400" t="s">
        <v>4638</v>
      </c>
      <c r="Q97" s="401" t="s">
        <v>4639</v>
      </c>
      <c r="R97" s="389"/>
      <c r="S97" s="389"/>
      <c r="T97" s="400" t="s">
        <v>4644</v>
      </c>
      <c r="U97" s="401" t="s">
        <v>4645</v>
      </c>
      <c r="V97" s="388" t="s">
        <v>3644</v>
      </c>
      <c r="W97" s="387" t="s">
        <v>5846</v>
      </c>
      <c r="X97" s="400" t="s">
        <v>1654</v>
      </c>
      <c r="Y97" s="401" t="s">
        <v>1655</v>
      </c>
      <c r="Z97" s="394" t="s">
        <v>1665</v>
      </c>
      <c r="AA97" s="394" t="s">
        <v>1666</v>
      </c>
      <c r="AB97" s="389"/>
      <c r="AC97" s="389"/>
      <c r="AD97" s="389"/>
      <c r="AE97" s="389"/>
      <c r="AF97" s="389"/>
      <c r="AG97" s="389"/>
      <c r="AH97" s="389"/>
      <c r="AI97" s="389"/>
      <c r="AJ97" s="389"/>
      <c r="AK97" s="389"/>
      <c r="AL97" s="389"/>
      <c r="AM97" s="389"/>
      <c r="AN97" s="389"/>
      <c r="AO97" s="390"/>
      <c r="BG97" s="15" t="s">
        <v>509</v>
      </c>
      <c r="BH97" s="15">
        <v>17</v>
      </c>
      <c r="BI97" s="15">
        <v>18</v>
      </c>
      <c r="BJ97" s="15">
        <v>63</v>
      </c>
      <c r="BK97" s="15" cm="1">
        <f t="array" ref="BK97">_xlfn.IFS($AI$10&gt;=17,67,$AI$10&gt;=13,66,$AI$10&gt;=9,65,$AI$10&gt;=3,64,1,0)</f>
        <v>0</v>
      </c>
      <c r="BM97" s="16">
        <f>IFERROR(IF(BM96+1&gt;BQ2,IF(BM96+1&gt;BQ2,IF(BP3+BP96&gt;BQ3,"",BP3+BP96)),BM96+1),"")</f>
        <v>92</v>
      </c>
      <c r="BN97" s="16" t="str">
        <f>IFERROR(INDEX(B30:AO180,BM97,BN2),"")</f>
        <v/>
      </c>
      <c r="BO97" s="16" t="str">
        <f>IFERROR(INDEX(B30:AO180,BM97,BO2),"")</f>
        <v/>
      </c>
      <c r="BP97" s="16">
        <f>IFERROR(IF(BM96+1&gt;BQ2,BP96+1,0),"")</f>
        <v>0</v>
      </c>
      <c r="BS97" s="412" t="str">
        <f t="shared" si="3"/>
        <v/>
      </c>
      <c r="BT97" s="413" t="str" cm="1">
        <f t="array" ref="BT97">INDEX(BS:BS,SMALL(IF($BS$2:$BS$101&lt;&gt;"",ROW($BS$2:$BS$101),142),ROW(BS96)))&amp;""</f>
        <v/>
      </c>
    </row>
    <row r="98" spans="1:72" ht="16.5" customHeight="1" thickTop="1">
      <c r="A98" s="233">
        <v>69</v>
      </c>
      <c r="B98" s="405"/>
      <c r="C98" s="389"/>
      <c r="D98" s="389"/>
      <c r="E98" s="389"/>
      <c r="F98" s="400" t="s">
        <v>1635</v>
      </c>
      <c r="G98" s="401" t="s">
        <v>5791</v>
      </c>
      <c r="H98" s="389"/>
      <c r="I98" s="389"/>
      <c r="J98" s="400" t="s">
        <v>1425</v>
      </c>
      <c r="K98" s="401" t="s">
        <v>1426</v>
      </c>
      <c r="L98" s="394" t="s">
        <v>1601</v>
      </c>
      <c r="M98" s="395" t="s">
        <v>1602</v>
      </c>
      <c r="N98" s="389"/>
      <c r="O98" s="389"/>
      <c r="P98" s="400" t="s">
        <v>4640</v>
      </c>
      <c r="Q98" s="401" t="s">
        <v>4641</v>
      </c>
      <c r="R98" s="389"/>
      <c r="S98" s="389"/>
      <c r="T98" s="400" t="s">
        <v>4646</v>
      </c>
      <c r="U98" s="401" t="s">
        <v>4647</v>
      </c>
      <c r="V98" s="388" t="s">
        <v>3654</v>
      </c>
      <c r="W98" s="387" t="s">
        <v>5856</v>
      </c>
      <c r="X98" s="394" t="s">
        <v>1663</v>
      </c>
      <c r="Y98" s="395" t="s">
        <v>1664</v>
      </c>
      <c r="Z98" s="394" t="s">
        <v>1675</v>
      </c>
      <c r="AA98" s="394" t="s">
        <v>1676</v>
      </c>
      <c r="AB98" s="389"/>
      <c r="AC98" s="389"/>
      <c r="AD98" s="389"/>
      <c r="AE98" s="389"/>
      <c r="AF98" s="389"/>
      <c r="AG98" s="389"/>
      <c r="AH98" s="389"/>
      <c r="AI98" s="389"/>
      <c r="AJ98" s="389"/>
      <c r="AK98" s="389"/>
      <c r="AL98" s="389"/>
      <c r="AM98" s="389"/>
      <c r="AN98" s="389"/>
      <c r="AO98" s="390"/>
      <c r="BG98" s="235" t="s">
        <v>3611</v>
      </c>
      <c r="BH98" s="235">
        <v>19</v>
      </c>
      <c r="BI98" s="235">
        <v>20</v>
      </c>
      <c r="BJ98" s="235">
        <v>31</v>
      </c>
      <c r="BK98" s="235" cm="1">
        <f t="array" ref="BK98">_xlfn.IFS($AI$11&gt;=18,35,$AI$11&gt;=14,34,$AI$11&gt;=6,33,$AI$11&gt;=1,32,1,0)</f>
        <v>0</v>
      </c>
      <c r="BM98" s="16">
        <f>IFERROR(IF(BM97+1&gt;BQ2,IF(BM97+1&gt;BQ2,IF(BP3+BP97&gt;BQ3,"",BP3+BP97)),BM97+1),"")</f>
        <v>93</v>
      </c>
      <c r="BN98" s="16" t="str">
        <f>IFERROR(INDEX(B30:AO180,BM98,BN2),"")</f>
        <v/>
      </c>
      <c r="BO98" s="16" t="str">
        <f>IFERROR(INDEX(B30:AO180,BM98,BO2),"")</f>
        <v/>
      </c>
      <c r="BP98" s="16">
        <f>IFERROR(IF(BM97+1&gt;BQ2,BP97+1,0),"")</f>
        <v>0</v>
      </c>
      <c r="BS98" s="412" t="str">
        <f t="shared" si="3"/>
        <v/>
      </c>
      <c r="BT98" s="413" t="str" cm="1">
        <f t="array" ref="BT98">INDEX(BS:BS,SMALL(IF($BS$2:$BS$101&lt;&gt;"",ROW($BS$2:$BS$101),142),ROW(BS97)))&amp;""</f>
        <v/>
      </c>
    </row>
    <row r="99" spans="1:72" ht="16.5" customHeight="1">
      <c r="A99" s="233">
        <v>70</v>
      </c>
      <c r="B99" s="405"/>
      <c r="C99" s="389"/>
      <c r="D99" s="389"/>
      <c r="E99" s="389"/>
      <c r="F99" s="400" t="s">
        <v>1647</v>
      </c>
      <c r="G99" s="401" t="s">
        <v>5792</v>
      </c>
      <c r="H99" s="389"/>
      <c r="I99" s="389"/>
      <c r="J99" s="394" t="s">
        <v>1386</v>
      </c>
      <c r="K99" s="395" t="s">
        <v>1571</v>
      </c>
      <c r="L99" s="394" t="s">
        <v>1614</v>
      </c>
      <c r="M99" s="395" t="s">
        <v>1615</v>
      </c>
      <c r="N99" s="389"/>
      <c r="O99" s="389"/>
      <c r="P99" s="389"/>
      <c r="Q99" s="389"/>
      <c r="R99" s="389"/>
      <c r="S99" s="389"/>
      <c r="T99" s="400" t="s">
        <v>4648</v>
      </c>
      <c r="U99" s="401" t="s">
        <v>4649</v>
      </c>
      <c r="V99" s="388" t="s">
        <v>3665</v>
      </c>
      <c r="W99" s="387" t="s">
        <v>5867</v>
      </c>
      <c r="X99" s="394" t="s">
        <v>1673</v>
      </c>
      <c r="Y99" s="395" t="s">
        <v>1674</v>
      </c>
      <c r="Z99" s="389"/>
      <c r="AA99" s="389"/>
      <c r="AB99" s="389"/>
      <c r="AC99" s="389"/>
      <c r="AD99" s="389"/>
      <c r="AE99" s="389"/>
      <c r="AF99" s="389"/>
      <c r="AG99" s="389"/>
      <c r="AH99" s="389"/>
      <c r="AI99" s="389"/>
      <c r="AJ99" s="389"/>
      <c r="AK99" s="389"/>
      <c r="AL99" s="389"/>
      <c r="AM99" s="389"/>
      <c r="AN99" s="389"/>
      <c r="AO99" s="390"/>
      <c r="BG99" s="15" t="s">
        <v>3613</v>
      </c>
      <c r="BH99" s="15">
        <v>19</v>
      </c>
      <c r="BI99" s="15">
        <v>20</v>
      </c>
      <c r="BJ99" s="15">
        <v>36</v>
      </c>
      <c r="BK99" s="15" cm="1">
        <f t="array" ref="BK99">_xlfn.IFS($AI$11&gt;=18,40,$AI$11&gt;=14,39,$AI$11&gt;=6,38,$AI$11&gt;=1,37,1,0)</f>
        <v>0</v>
      </c>
      <c r="BM99" s="16">
        <f>IFERROR(IF(BM98+1&gt;BQ2,IF(BM98+1&gt;BQ2,IF(BP3+BP98&gt;BQ3,"",BP3+BP98)),BM98+1),"")</f>
        <v>94</v>
      </c>
      <c r="BN99" s="16" t="str">
        <f>IFERROR(INDEX(B30:AO180,BM99,BN2),"")</f>
        <v/>
      </c>
      <c r="BO99" s="16" t="str">
        <f>IFERROR(INDEX(B30:AO180,BM99,BO2),"")</f>
        <v/>
      </c>
      <c r="BP99" s="16">
        <f>IFERROR(IF(BM98+1&gt;BQ2,BP98+1,0),"")</f>
        <v>0</v>
      </c>
      <c r="BS99" s="412" t="str">
        <f t="shared" si="3"/>
        <v/>
      </c>
      <c r="BT99" s="413" t="str" cm="1">
        <f t="array" ref="BT99">INDEX(BS:BS,SMALL(IF($BS$2:$BS$101&lt;&gt;"",ROW($BS$2:$BS$101),142),ROW(BS98)))&amp;""</f>
        <v/>
      </c>
    </row>
    <row r="100" spans="1:72" ht="16.5" customHeight="1">
      <c r="A100" s="233">
        <v>71</v>
      </c>
      <c r="B100" s="405"/>
      <c r="C100" s="389"/>
      <c r="D100" s="389"/>
      <c r="E100" s="389"/>
      <c r="F100" s="400" t="s">
        <v>1657</v>
      </c>
      <c r="G100" s="401" t="s">
        <v>5793</v>
      </c>
      <c r="H100" s="389"/>
      <c r="I100" s="389"/>
      <c r="J100" s="394" t="s">
        <v>1584</v>
      </c>
      <c r="K100" s="395" t="s">
        <v>1585</v>
      </c>
      <c r="L100" s="394" t="s">
        <v>1627</v>
      </c>
      <c r="M100" s="395" t="s">
        <v>1628</v>
      </c>
      <c r="N100" s="389"/>
      <c r="O100" s="389"/>
      <c r="P100" s="389"/>
      <c r="Q100" s="389"/>
      <c r="R100" s="389"/>
      <c r="S100" s="389"/>
      <c r="T100" s="400" t="s">
        <v>4650</v>
      </c>
      <c r="U100" s="401" t="s">
        <v>4651</v>
      </c>
      <c r="V100" s="388" t="s">
        <v>3668</v>
      </c>
      <c r="W100" s="387" t="s">
        <v>5870</v>
      </c>
      <c r="X100" s="394" t="s">
        <v>1683</v>
      </c>
      <c r="Y100" s="395" t="s">
        <v>1684</v>
      </c>
      <c r="Z100" s="389"/>
      <c r="AA100" s="389"/>
      <c r="AB100" s="389"/>
      <c r="AC100" s="389"/>
      <c r="AD100" s="389"/>
      <c r="AE100" s="389"/>
      <c r="AF100" s="389"/>
      <c r="AG100" s="389"/>
      <c r="AH100" s="389"/>
      <c r="AI100" s="389"/>
      <c r="AJ100" s="389"/>
      <c r="AK100" s="389"/>
      <c r="AL100" s="389"/>
      <c r="AM100" s="389"/>
      <c r="AN100" s="389"/>
      <c r="AO100" s="390"/>
      <c r="BG100" s="15" t="s">
        <v>3614</v>
      </c>
      <c r="BH100" s="15">
        <v>19</v>
      </c>
      <c r="BI100" s="15">
        <v>20</v>
      </c>
      <c r="BJ100" s="15">
        <v>41</v>
      </c>
      <c r="BK100" s="15" cm="1">
        <f t="array" ref="BK100">_xlfn.IFS($AI$11&gt;=18,45,$AI$11&gt;=14,44,$AI$11&gt;=6,43,$AI$11&gt;=1,42,1,0)</f>
        <v>0</v>
      </c>
      <c r="BM100" s="16">
        <f>IFERROR(IF(BM99+1&gt;BQ2,IF(BM99+1&gt;BQ2,IF(BP3+BP99&gt;BQ3,"",BP3+BP99)),BM99+1),"")</f>
        <v>95</v>
      </c>
      <c r="BN100" s="16" t="str">
        <f>IFERROR(INDEX(B30:AO180,BM100,BN2),"")</f>
        <v/>
      </c>
      <c r="BO100" s="16" t="str">
        <f>IFERROR(INDEX(B30:AO180,BM100,BO2),"")</f>
        <v/>
      </c>
      <c r="BP100" s="16">
        <f>IFERROR(IF(BM99+1&gt;BQ2,BP99+1,0),"")</f>
        <v>0</v>
      </c>
      <c r="BS100" s="412" t="str">
        <f t="shared" si="3"/>
        <v/>
      </c>
      <c r="BT100" s="413" t="str" cm="1">
        <f t="array" ref="BT100">INDEX(BS:BS,SMALL(IF($BS$2:$BS$101&lt;&gt;"",ROW($BS$2:$BS$101),142),ROW(BS99)))&amp;""</f>
        <v/>
      </c>
    </row>
    <row r="101" spans="1:72" ht="16.5" customHeight="1" thickBot="1">
      <c r="A101" s="233">
        <v>72</v>
      </c>
      <c r="B101" s="405"/>
      <c r="C101" s="389"/>
      <c r="D101" s="389"/>
      <c r="E101" s="389"/>
      <c r="F101" s="400" t="s">
        <v>1010</v>
      </c>
      <c r="G101" s="401" t="s">
        <v>5794</v>
      </c>
      <c r="H101" s="389"/>
      <c r="I101" s="389"/>
      <c r="J101" s="394" t="s">
        <v>1599</v>
      </c>
      <c r="K101" s="395" t="s">
        <v>1600</v>
      </c>
      <c r="L101" s="394" t="s">
        <v>1638</v>
      </c>
      <c r="M101" s="395" t="s">
        <v>1639</v>
      </c>
      <c r="N101" s="389"/>
      <c r="O101" s="389"/>
      <c r="P101" s="389"/>
      <c r="Q101" s="389"/>
      <c r="R101" s="389"/>
      <c r="S101" s="389"/>
      <c r="T101" s="400" t="s">
        <v>4652</v>
      </c>
      <c r="U101" s="401" t="s">
        <v>4653</v>
      </c>
      <c r="V101" s="402" t="s">
        <v>1564</v>
      </c>
      <c r="W101" s="403" t="s">
        <v>5883</v>
      </c>
      <c r="X101" s="394" t="s">
        <v>1692</v>
      </c>
      <c r="Y101" s="395" t="s">
        <v>1693</v>
      </c>
      <c r="Z101" s="389"/>
      <c r="AA101" s="389"/>
      <c r="AB101" s="389"/>
      <c r="AC101" s="389"/>
      <c r="AD101" s="389"/>
      <c r="AE101" s="389"/>
      <c r="AF101" s="389"/>
      <c r="AG101" s="389"/>
      <c r="AH101" s="389"/>
      <c r="AI101" s="389"/>
      <c r="AJ101" s="389"/>
      <c r="AK101" s="389"/>
      <c r="AL101" s="389"/>
      <c r="AM101" s="389"/>
      <c r="AN101" s="389"/>
      <c r="AO101" s="390"/>
      <c r="BG101" s="15" t="s">
        <v>3615</v>
      </c>
      <c r="BH101" s="15">
        <v>19</v>
      </c>
      <c r="BI101" s="15">
        <v>20</v>
      </c>
      <c r="BJ101" s="15">
        <v>46</v>
      </c>
      <c r="BK101" s="15" cm="1">
        <f t="array" ref="BK101">_xlfn.IFS($AI$11&gt;=18,50,$AI$11&gt;=14,49,$AI$11&gt;=6,48,$AI$11&gt;=1,47,1,0)</f>
        <v>0</v>
      </c>
      <c r="BM101" s="16">
        <f>IFERROR(IF(BM100+1&gt;BQ2,IF(BM100+1&gt;BQ2,IF(BP3+BP100&gt;BQ3,"",BP3+BP100)),BM100+1),"")</f>
        <v>96</v>
      </c>
      <c r="BN101" s="16" t="str">
        <f>IFERROR(INDEX(B30:AO180,BM101,BN2),"")</f>
        <v/>
      </c>
      <c r="BO101" s="16" t="str">
        <f>IFERROR(INDEX(B30:AO180,BM101,BO2),"")</f>
        <v/>
      </c>
      <c r="BP101" s="16">
        <f>IFERROR(IF(BM100+1&gt;BQ2,BP100+1,0),"")</f>
        <v>0</v>
      </c>
      <c r="BS101" s="412" t="str">
        <f t="shared" si="3"/>
        <v/>
      </c>
      <c r="BT101" s="414" t="str" cm="1">
        <f t="array" ref="BT101">INDEX(BS:BS,SMALL(IF($BS$2:$BS$101&lt;&gt;"",ROW($BS$2:$BS$101),142),ROW(BS100)))&amp;""</f>
        <v/>
      </c>
    </row>
    <row r="102" spans="1:72" ht="16.5" customHeight="1">
      <c r="A102" s="233">
        <v>73</v>
      </c>
      <c r="B102" s="405"/>
      <c r="C102" s="389"/>
      <c r="D102" s="389"/>
      <c r="E102" s="389"/>
      <c r="F102" s="400" t="s">
        <v>5796</v>
      </c>
      <c r="G102" s="401" t="s">
        <v>5795</v>
      </c>
      <c r="H102" s="389"/>
      <c r="I102" s="389"/>
      <c r="J102" s="394" t="s">
        <v>1612</v>
      </c>
      <c r="K102" s="395" t="s">
        <v>1613</v>
      </c>
      <c r="L102" s="400" t="s">
        <v>1650</v>
      </c>
      <c r="M102" s="401" t="s">
        <v>1651</v>
      </c>
      <c r="N102" s="389"/>
      <c r="O102" s="389"/>
      <c r="P102" s="389"/>
      <c r="Q102" s="389"/>
      <c r="R102" s="408"/>
      <c r="S102" s="408"/>
      <c r="T102" s="400" t="s">
        <v>4654</v>
      </c>
      <c r="U102" s="401" t="s">
        <v>4655</v>
      </c>
      <c r="V102" s="393" t="s">
        <v>816</v>
      </c>
      <c r="W102" s="392" t="s">
        <v>817</v>
      </c>
      <c r="X102" s="394" t="s">
        <v>1700</v>
      </c>
      <c r="Y102" s="395" t="s">
        <v>1701</v>
      </c>
      <c r="Z102" s="389"/>
      <c r="AA102" s="389"/>
      <c r="AB102" s="389"/>
      <c r="AC102" s="389"/>
      <c r="AD102" s="389"/>
      <c r="AE102" s="389"/>
      <c r="AF102" s="389"/>
      <c r="AG102" s="389"/>
      <c r="AH102" s="389"/>
      <c r="AI102" s="389"/>
      <c r="AJ102" s="389"/>
      <c r="AK102" s="389"/>
      <c r="AL102" s="389"/>
      <c r="AM102" s="389"/>
      <c r="AN102" s="389"/>
      <c r="AO102" s="390"/>
      <c r="BG102" s="15" t="s">
        <v>3616</v>
      </c>
      <c r="BH102" s="15">
        <v>19</v>
      </c>
      <c r="BI102" s="15">
        <v>20</v>
      </c>
      <c r="BJ102" s="15">
        <v>51</v>
      </c>
      <c r="BK102" s="15" cm="1">
        <f t="array" ref="BK102">_xlfn.IFS($AI$11&gt;=18,56,$AI$11&gt;=14,55,$AI$11&gt;=6,54,$AI$11&gt;=1,52,1,0)</f>
        <v>0</v>
      </c>
      <c r="BM102" s="16">
        <f>IFERROR(IF(BM101+1&gt;BQ2,IF(BM101+1&gt;BQ2,IF(BP3+BP101&gt;BQ3,"",BP3+BP101)),BM101+1),"")</f>
        <v>97</v>
      </c>
      <c r="BN102" s="16" t="str">
        <f>IFERROR(INDEX(B30:AO180,BM102,BN2),"")</f>
        <v/>
      </c>
      <c r="BO102" s="16" t="str">
        <f>IFERROR(INDEX(B30:AO180,BM102,BO2),"")</f>
        <v/>
      </c>
      <c r="BP102" s="16">
        <f>IFERROR(IF(BM101+1&gt;BQ2,BP101+1,0),"")</f>
        <v>0</v>
      </c>
    </row>
    <row r="103" spans="1:72" ht="16.5" customHeight="1">
      <c r="A103" s="233">
        <v>74</v>
      </c>
      <c r="B103" s="405"/>
      <c r="C103" s="389"/>
      <c r="D103" s="389"/>
      <c r="E103" s="389"/>
      <c r="F103" s="394" t="s">
        <v>1685</v>
      </c>
      <c r="G103" s="395" t="s">
        <v>1686</v>
      </c>
      <c r="H103" s="389"/>
      <c r="I103" s="389"/>
      <c r="J103" s="394" t="s">
        <v>1625</v>
      </c>
      <c r="K103" s="395" t="s">
        <v>1626</v>
      </c>
      <c r="L103" s="400" t="s">
        <v>1659</v>
      </c>
      <c r="M103" s="401" t="s">
        <v>1660</v>
      </c>
      <c r="N103" s="389"/>
      <c r="O103" s="389"/>
      <c r="P103" s="389"/>
      <c r="Q103" s="389"/>
      <c r="R103" s="408"/>
      <c r="S103" s="408"/>
      <c r="T103" s="389"/>
      <c r="U103" s="389"/>
      <c r="V103" s="394" t="s">
        <v>510</v>
      </c>
      <c r="W103" s="395" t="s">
        <v>1605</v>
      </c>
      <c r="X103" s="400" t="s">
        <v>1709</v>
      </c>
      <c r="Y103" s="401" t="s">
        <v>1710</v>
      </c>
      <c r="Z103" s="389"/>
      <c r="AA103" s="389"/>
      <c r="AB103" s="389"/>
      <c r="AC103" s="389"/>
      <c r="AD103" s="389"/>
      <c r="AE103" s="389"/>
      <c r="AF103" s="389"/>
      <c r="AG103" s="389"/>
      <c r="AH103" s="389"/>
      <c r="AI103" s="389"/>
      <c r="AJ103" s="389"/>
      <c r="AK103" s="389"/>
      <c r="AL103" s="389"/>
      <c r="AM103" s="389"/>
      <c r="AN103" s="389"/>
      <c r="AO103" s="390"/>
      <c r="BG103" s="15" t="s">
        <v>3617</v>
      </c>
      <c r="BH103" s="15">
        <v>19</v>
      </c>
      <c r="BI103" s="15">
        <v>20</v>
      </c>
      <c r="BJ103" s="15">
        <v>57</v>
      </c>
      <c r="BK103" s="15" cm="1">
        <f t="array" ref="BK103">_xlfn.IFS($AI$11&gt;=18,62,$AI$11&gt;=14,61,$AI$11&gt;=6,60,$AI$11&gt;=1,58,1,0)</f>
        <v>0</v>
      </c>
      <c r="BM103" s="16">
        <f>IFERROR(IF(BM102+1&gt;BQ2,IF(BM102+1&gt;BQ2,IF(BP3+BP102&gt;BQ3,"",BP3+BP102)),BM102+1),"")</f>
        <v>98</v>
      </c>
      <c r="BN103" s="16" t="str">
        <f>IFERROR(INDEX(B30:AO180,BM103,BN2),"")</f>
        <v/>
      </c>
      <c r="BO103" s="16" t="str">
        <f>IFERROR(INDEX(B30:AO180,BM103,BO2),"")</f>
        <v/>
      </c>
      <c r="BP103" s="16">
        <f>IFERROR(IF(BM102+1&gt;BQ2,BP102+1,0),"")</f>
        <v>0</v>
      </c>
    </row>
    <row r="104" spans="1:72" ht="16.5" customHeight="1">
      <c r="A104" s="233">
        <v>75</v>
      </c>
      <c r="B104" s="405"/>
      <c r="C104" s="389"/>
      <c r="D104" s="389"/>
      <c r="E104" s="389"/>
      <c r="F104" s="394" t="s">
        <v>5797</v>
      </c>
      <c r="G104" s="395" t="s">
        <v>5645</v>
      </c>
      <c r="H104" s="389"/>
      <c r="I104" s="389"/>
      <c r="J104" s="394" t="s">
        <v>1636</v>
      </c>
      <c r="K104" s="395" t="s">
        <v>1637</v>
      </c>
      <c r="L104" s="400" t="s">
        <v>1669</v>
      </c>
      <c r="M104" s="401" t="s">
        <v>1670</v>
      </c>
      <c r="N104" s="389"/>
      <c r="O104" s="389"/>
      <c r="P104" s="389"/>
      <c r="Q104" s="389"/>
      <c r="R104" s="408"/>
      <c r="S104" s="408"/>
      <c r="T104" s="389"/>
      <c r="U104" s="389"/>
      <c r="V104" s="394" t="s">
        <v>1618</v>
      </c>
      <c r="W104" s="395" t="s">
        <v>1619</v>
      </c>
      <c r="X104" s="400" t="s">
        <v>1717</v>
      </c>
      <c r="Y104" s="401" t="s">
        <v>1718</v>
      </c>
      <c r="Z104" s="389"/>
      <c r="AA104" s="389"/>
      <c r="AB104" s="389"/>
      <c r="AC104" s="389"/>
      <c r="AD104" s="389"/>
      <c r="AE104" s="389"/>
      <c r="AF104" s="389"/>
      <c r="AG104" s="389"/>
      <c r="AH104" s="389"/>
      <c r="AI104" s="389"/>
      <c r="AJ104" s="389"/>
      <c r="AK104" s="389"/>
      <c r="AL104" s="389"/>
      <c r="AM104" s="389"/>
      <c r="AN104" s="389"/>
      <c r="AO104" s="390"/>
      <c r="BG104" s="15" t="s">
        <v>3618</v>
      </c>
      <c r="BH104" s="15">
        <v>19</v>
      </c>
      <c r="BI104" s="15">
        <v>20</v>
      </c>
      <c r="BJ104" s="15">
        <v>63</v>
      </c>
      <c r="BK104" s="15" cm="1">
        <f t="array" ref="BK104">_xlfn.IFS($AI$11&gt;=18,67,$AI$11&gt;=14,66,$AI$11&gt;=6,65,$AI$11&gt;=1,64,1,0)</f>
        <v>0</v>
      </c>
      <c r="BM104" s="16">
        <f>IFERROR(IF(BM103+1&gt;BQ2,IF(BM103+1&gt;BQ2,IF(BP3+BP103&gt;BQ3,"",BP3+BP103)),BM103+1),"")</f>
        <v>99</v>
      </c>
      <c r="BN104" s="16" t="str">
        <f>IFERROR(INDEX(B30:AO180,BM104,BN2),"")</f>
        <v/>
      </c>
      <c r="BO104" s="16" t="str">
        <f>IFERROR(INDEX(B30:AO180,BM104,BO2),"")</f>
        <v/>
      </c>
      <c r="BP104" s="16">
        <f>IFERROR(IF(BM103+1&gt;BQ2,BP103+1,0),"")</f>
        <v>0</v>
      </c>
    </row>
    <row r="105" spans="1:72" ht="16.5" customHeight="1" thickBot="1">
      <c r="A105" s="233">
        <v>76</v>
      </c>
      <c r="B105" s="405"/>
      <c r="C105" s="389"/>
      <c r="D105" s="389"/>
      <c r="E105" s="389"/>
      <c r="F105" s="394" t="s">
        <v>1702</v>
      </c>
      <c r="G105" s="395" t="s">
        <v>5646</v>
      </c>
      <c r="H105" s="389"/>
      <c r="I105" s="389"/>
      <c r="J105" s="394" t="s">
        <v>1648</v>
      </c>
      <c r="K105" s="395" t="s">
        <v>1649</v>
      </c>
      <c r="L105" s="400" t="s">
        <v>1679</v>
      </c>
      <c r="M105" s="401" t="s">
        <v>1680</v>
      </c>
      <c r="N105" s="389"/>
      <c r="O105" s="389"/>
      <c r="P105" s="389"/>
      <c r="Q105" s="389"/>
      <c r="R105" s="408"/>
      <c r="S105" s="408"/>
      <c r="T105" s="389"/>
      <c r="U105" s="389"/>
      <c r="V105" s="394" t="s">
        <v>1630</v>
      </c>
      <c r="W105" s="395" t="s">
        <v>1631</v>
      </c>
      <c r="X105" s="400" t="s">
        <v>1724</v>
      </c>
      <c r="Y105" s="401" t="s">
        <v>1725</v>
      </c>
      <c r="Z105" s="389"/>
      <c r="AA105" s="389"/>
      <c r="AB105" s="389"/>
      <c r="AC105" s="389"/>
      <c r="AD105" s="389"/>
      <c r="AE105" s="389"/>
      <c r="AF105" s="389"/>
      <c r="AG105" s="389"/>
      <c r="AH105" s="389"/>
      <c r="AI105" s="389"/>
      <c r="AJ105" s="389"/>
      <c r="AK105" s="389"/>
      <c r="AL105" s="389"/>
      <c r="AM105" s="389"/>
      <c r="AN105" s="389"/>
      <c r="AO105" s="390"/>
      <c r="BG105" s="15" t="s">
        <v>4643</v>
      </c>
      <c r="BH105" s="15">
        <v>19</v>
      </c>
      <c r="BI105" s="15">
        <v>20</v>
      </c>
      <c r="BJ105" s="15">
        <v>68</v>
      </c>
      <c r="BK105" s="15" cm="1">
        <f t="array" ref="BK105">_xlfn.IFS($AI$11&gt;=18,73,$AI$11&gt;=14,72,$AI$11&gt;=6,71,$AI$11&gt;=1,696,1,0)</f>
        <v>0</v>
      </c>
      <c r="BM105" s="16">
        <f>IFERROR(IF(BM104+1&gt;BQ2,IF(BM104+1&gt;BQ2,IF(BP3+BP104&gt;BQ3,"",BP3+BP104)),BM104+1),"")</f>
        <v>100</v>
      </c>
      <c r="BN105" s="16" t="str">
        <f>IFERROR(INDEX(B30:AO180,BM105,BN2),"")</f>
        <v/>
      </c>
      <c r="BO105" s="16" t="str">
        <f>IFERROR(INDEX(B30:AO180,BM105,BO2),"")</f>
        <v/>
      </c>
      <c r="BP105" s="16">
        <f>IFERROR(IF(BM104+1&gt;BQ2,BP104+1,0),"")</f>
        <v>0</v>
      </c>
    </row>
    <row r="106" spans="1:72" ht="16.5" customHeight="1" thickTop="1">
      <c r="A106" s="233">
        <v>77</v>
      </c>
      <c r="B106" s="405"/>
      <c r="C106" s="389"/>
      <c r="D106" s="389"/>
      <c r="E106" s="389"/>
      <c r="F106" s="394" t="s">
        <v>1711</v>
      </c>
      <c r="G106" s="395" t="s">
        <v>5647</v>
      </c>
      <c r="H106" s="389"/>
      <c r="I106" s="389"/>
      <c r="J106" s="400" t="s">
        <v>1386</v>
      </c>
      <c r="K106" s="401" t="s">
        <v>1658</v>
      </c>
      <c r="L106" s="400" t="s">
        <v>1689</v>
      </c>
      <c r="M106" s="401" t="s">
        <v>1690</v>
      </c>
      <c r="N106" s="389"/>
      <c r="O106" s="389"/>
      <c r="P106" s="389"/>
      <c r="Q106" s="389"/>
      <c r="R106" s="408"/>
      <c r="S106" s="408"/>
      <c r="T106" s="389"/>
      <c r="U106" s="389"/>
      <c r="V106" s="394" t="s">
        <v>1641</v>
      </c>
      <c r="W106" s="395" t="s">
        <v>1642</v>
      </c>
      <c r="X106" s="400" t="s">
        <v>1732</v>
      </c>
      <c r="Y106" s="401" t="s">
        <v>1733</v>
      </c>
      <c r="Z106" s="389"/>
      <c r="AA106" s="389"/>
      <c r="AB106" s="389"/>
      <c r="AC106" s="389"/>
      <c r="AD106" s="389"/>
      <c r="AE106" s="389"/>
      <c r="AF106" s="389"/>
      <c r="AG106" s="389"/>
      <c r="AH106" s="389"/>
      <c r="AI106" s="389"/>
      <c r="AJ106" s="389"/>
      <c r="AK106" s="389"/>
      <c r="AL106" s="389"/>
      <c r="AM106" s="389"/>
      <c r="AN106" s="389"/>
      <c r="AO106" s="390"/>
      <c r="BG106" s="235" t="s">
        <v>510</v>
      </c>
      <c r="BH106" s="235">
        <v>21</v>
      </c>
      <c r="BI106" s="235">
        <v>22</v>
      </c>
      <c r="BJ106" s="235">
        <v>74</v>
      </c>
      <c r="BK106" s="235" cm="1">
        <f t="array" ref="BK106">_xlfn.IFS($AI$12&gt;=14,79,$AI$12&gt;=10,78,$AI$12&gt;=6,77,$AI$12&gt;=1,76,1,0)</f>
        <v>0</v>
      </c>
    </row>
    <row r="107" spans="1:72" ht="16.5" customHeight="1">
      <c r="A107" s="233">
        <v>78</v>
      </c>
      <c r="B107" s="405"/>
      <c r="C107" s="389"/>
      <c r="D107" s="389"/>
      <c r="E107" s="389"/>
      <c r="F107" s="394" t="s">
        <v>5648</v>
      </c>
      <c r="G107" s="395" t="s">
        <v>5649</v>
      </c>
      <c r="H107" s="389"/>
      <c r="I107" s="389"/>
      <c r="J107" s="400" t="s">
        <v>1667</v>
      </c>
      <c r="K107" s="401" t="s">
        <v>1668</v>
      </c>
      <c r="L107" s="400" t="s">
        <v>1696</v>
      </c>
      <c r="M107" s="401" t="s">
        <v>1697</v>
      </c>
      <c r="N107" s="389"/>
      <c r="O107" s="389"/>
      <c r="P107" s="389"/>
      <c r="Q107" s="389"/>
      <c r="R107" s="408"/>
      <c r="S107" s="408"/>
      <c r="T107" s="389"/>
      <c r="U107" s="389"/>
      <c r="V107" s="394" t="s">
        <v>1652</v>
      </c>
      <c r="W107" s="395" t="s">
        <v>1653</v>
      </c>
      <c r="X107" s="394" t="s">
        <v>1738</v>
      </c>
      <c r="Y107" s="395" t="s">
        <v>1739</v>
      </c>
      <c r="Z107" s="389"/>
      <c r="AA107" s="389"/>
      <c r="AB107" s="389"/>
      <c r="AC107" s="389"/>
      <c r="AD107" s="389"/>
      <c r="AE107" s="389"/>
      <c r="AF107" s="389"/>
      <c r="AG107" s="389"/>
      <c r="AH107" s="389"/>
      <c r="AI107" s="389"/>
      <c r="AJ107" s="389"/>
      <c r="AK107" s="389"/>
      <c r="AL107" s="389"/>
      <c r="AM107" s="389"/>
      <c r="AN107" s="389"/>
      <c r="AO107" s="390"/>
      <c r="BG107" s="15" t="s">
        <v>511</v>
      </c>
      <c r="BH107" s="15">
        <v>21</v>
      </c>
      <c r="BI107" s="15">
        <v>22</v>
      </c>
      <c r="BJ107" s="15">
        <v>80</v>
      </c>
      <c r="BK107" s="15" cm="1">
        <f t="array" ref="BK107">_xlfn.IFS($AI$12&gt;=14,85,$AI$12&gt;=10,84,$AI$12&gt;=6,83,$AI$12&gt;=1,82,1,0)</f>
        <v>0</v>
      </c>
    </row>
    <row r="108" spans="1:72" ht="16.5" customHeight="1">
      <c r="A108" s="233">
        <v>79</v>
      </c>
      <c r="B108" s="405"/>
      <c r="C108" s="389"/>
      <c r="D108" s="389"/>
      <c r="E108" s="389"/>
      <c r="F108" s="394" t="s">
        <v>886</v>
      </c>
      <c r="G108" s="395" t="s">
        <v>5650</v>
      </c>
      <c r="H108" s="389"/>
      <c r="I108" s="389"/>
      <c r="J108" s="400" t="s">
        <v>1677</v>
      </c>
      <c r="K108" s="401" t="s">
        <v>1678</v>
      </c>
      <c r="L108" s="394" t="s">
        <v>1705</v>
      </c>
      <c r="M108" s="395" t="s">
        <v>1706</v>
      </c>
      <c r="N108" s="389"/>
      <c r="O108" s="389"/>
      <c r="P108" s="389"/>
      <c r="Q108" s="389"/>
      <c r="R108" s="408"/>
      <c r="S108" s="408"/>
      <c r="T108" s="389"/>
      <c r="U108" s="389"/>
      <c r="V108" s="394" t="s">
        <v>1661</v>
      </c>
      <c r="W108" s="395" t="s">
        <v>1662</v>
      </c>
      <c r="X108" s="394" t="s">
        <v>1746</v>
      </c>
      <c r="Y108" s="395" t="s">
        <v>1747</v>
      </c>
      <c r="Z108" s="389"/>
      <c r="AA108" s="389"/>
      <c r="AB108" s="389"/>
      <c r="AC108" s="389"/>
      <c r="AD108" s="389"/>
      <c r="AE108" s="389"/>
      <c r="AF108" s="389"/>
      <c r="AG108" s="389"/>
      <c r="AH108" s="389"/>
      <c r="AI108" s="389"/>
      <c r="AJ108" s="389"/>
      <c r="AK108" s="389"/>
      <c r="AL108" s="389"/>
      <c r="AM108" s="389"/>
      <c r="AN108" s="389"/>
      <c r="AO108" s="390"/>
      <c r="BG108" s="15" t="s">
        <v>512</v>
      </c>
      <c r="BH108" s="15">
        <v>21</v>
      </c>
      <c r="BI108" s="15">
        <v>22</v>
      </c>
      <c r="BJ108" s="15">
        <v>86</v>
      </c>
      <c r="BK108" s="15" cm="1">
        <f t="array" ref="BK108">_xlfn.IFS($AI$12&gt;=14,91,$AI$12&gt;=10,90,$AI$12&gt;=6,89,$AI$12&gt;=1,88,1,0)</f>
        <v>0</v>
      </c>
    </row>
    <row r="109" spans="1:72" ht="16.5" customHeight="1">
      <c r="A109" s="233">
        <v>80</v>
      </c>
      <c r="B109" s="405"/>
      <c r="C109" s="389"/>
      <c r="D109" s="389"/>
      <c r="E109" s="389"/>
      <c r="F109" s="394" t="s">
        <v>5651</v>
      </c>
      <c r="G109" s="395" t="s">
        <v>5652</v>
      </c>
      <c r="H109" s="389"/>
      <c r="I109" s="389"/>
      <c r="J109" s="400" t="s">
        <v>1687</v>
      </c>
      <c r="K109" s="401" t="s">
        <v>1688</v>
      </c>
      <c r="L109" s="394" t="s">
        <v>1713</v>
      </c>
      <c r="M109" s="395" t="s">
        <v>1714</v>
      </c>
      <c r="N109" s="389"/>
      <c r="O109" s="389"/>
      <c r="P109" s="389"/>
      <c r="Q109" s="389"/>
      <c r="R109" s="408"/>
      <c r="S109" s="408"/>
      <c r="T109" s="389"/>
      <c r="U109" s="389"/>
      <c r="V109" s="396" t="s">
        <v>1671</v>
      </c>
      <c r="W109" s="397" t="s">
        <v>1672</v>
      </c>
      <c r="X109" s="394" t="s">
        <v>1753</v>
      </c>
      <c r="Y109" s="395" t="s">
        <v>1754</v>
      </c>
      <c r="Z109" s="389"/>
      <c r="AA109" s="389"/>
      <c r="AB109" s="389"/>
      <c r="AC109" s="389"/>
      <c r="AD109" s="389"/>
      <c r="AE109" s="389"/>
      <c r="AF109" s="389"/>
      <c r="AG109" s="389"/>
      <c r="AH109" s="389"/>
      <c r="AI109" s="389"/>
      <c r="AJ109" s="389"/>
      <c r="AK109" s="389"/>
      <c r="AL109" s="389"/>
      <c r="AM109" s="389"/>
      <c r="AN109" s="389"/>
      <c r="AO109" s="390"/>
      <c r="BG109" s="15" t="s">
        <v>513</v>
      </c>
      <c r="BH109" s="15">
        <v>21</v>
      </c>
      <c r="BI109" s="15">
        <v>22</v>
      </c>
      <c r="BJ109" s="15">
        <v>92</v>
      </c>
      <c r="BK109" s="15" cm="1">
        <f t="array" ref="BK109">_xlfn.IFS($AI$12&gt;=14,98,$AI$12&gt;=10,97,$AI$12&gt;=6,96,$AI$12&gt;=1,95,1,0)</f>
        <v>0</v>
      </c>
    </row>
    <row r="110" spans="1:72" ht="16.5" customHeight="1">
      <c r="A110" s="233">
        <v>81</v>
      </c>
      <c r="B110" s="405"/>
      <c r="C110" s="389"/>
      <c r="D110" s="389"/>
      <c r="E110" s="389"/>
      <c r="F110" s="400" t="s">
        <v>1740</v>
      </c>
      <c r="G110" s="401" t="s">
        <v>1741</v>
      </c>
      <c r="H110" s="389"/>
      <c r="I110" s="389"/>
      <c r="J110" s="400" t="s">
        <v>1694</v>
      </c>
      <c r="K110" s="401" t="s">
        <v>1695</v>
      </c>
      <c r="L110" s="394" t="s">
        <v>1721</v>
      </c>
      <c r="M110" s="395" t="s">
        <v>1722</v>
      </c>
      <c r="N110" s="389"/>
      <c r="O110" s="389"/>
      <c r="P110" s="389"/>
      <c r="Q110" s="389"/>
      <c r="R110" s="408"/>
      <c r="S110" s="408"/>
      <c r="T110" s="389"/>
      <c r="U110" s="389"/>
      <c r="V110" s="396" t="s">
        <v>1681</v>
      </c>
      <c r="W110" s="397" t="s">
        <v>1682</v>
      </c>
      <c r="X110" s="394" t="s">
        <v>1760</v>
      </c>
      <c r="Y110" s="395" t="s">
        <v>1761</v>
      </c>
      <c r="Z110" s="389"/>
      <c r="AA110" s="389"/>
      <c r="AB110" s="389"/>
      <c r="AC110" s="389"/>
      <c r="AD110" s="389"/>
      <c r="AE110" s="389"/>
      <c r="AF110" s="389"/>
      <c r="AG110" s="389"/>
      <c r="AH110" s="389"/>
      <c r="AI110" s="389"/>
      <c r="AJ110" s="389"/>
      <c r="AK110" s="389"/>
      <c r="AL110" s="389"/>
      <c r="AM110" s="389"/>
      <c r="AN110" s="389"/>
      <c r="AO110" s="390"/>
      <c r="BG110" s="15" t="s">
        <v>514</v>
      </c>
      <c r="BH110" s="15">
        <v>21</v>
      </c>
      <c r="BI110" s="15">
        <v>22</v>
      </c>
      <c r="BJ110" s="15">
        <v>99</v>
      </c>
      <c r="BK110" s="15" cm="1">
        <f t="array" ref="BK110">_xlfn.IFS($AI$12&gt;=14,105,$AI$12&gt;=10,104,$AI$12&gt;=6,103,$AI$12&gt;=1,102,1,0)</f>
        <v>0</v>
      </c>
    </row>
    <row r="111" spans="1:72" ht="16.5" customHeight="1">
      <c r="A111" s="233">
        <v>82</v>
      </c>
      <c r="B111" s="405"/>
      <c r="C111" s="389"/>
      <c r="D111" s="389"/>
      <c r="E111" s="389"/>
      <c r="F111" s="400" t="s">
        <v>760</v>
      </c>
      <c r="G111" s="401" t="s">
        <v>1748</v>
      </c>
      <c r="H111" s="389"/>
      <c r="I111" s="389"/>
      <c r="J111" s="400" t="s">
        <v>1703</v>
      </c>
      <c r="K111" s="401" t="s">
        <v>1704</v>
      </c>
      <c r="L111" s="394" t="s">
        <v>1728</v>
      </c>
      <c r="M111" s="395" t="s">
        <v>1729</v>
      </c>
      <c r="N111" s="389"/>
      <c r="O111" s="389"/>
      <c r="P111" s="389"/>
      <c r="Q111" s="389"/>
      <c r="R111" s="408"/>
      <c r="S111" s="408"/>
      <c r="T111" s="389"/>
      <c r="U111" s="389"/>
      <c r="V111" s="396" t="s">
        <v>1691</v>
      </c>
      <c r="W111" s="397" t="s">
        <v>5607</v>
      </c>
      <c r="X111" s="394" t="s">
        <v>1767</v>
      </c>
      <c r="Y111" s="395" t="s">
        <v>1768</v>
      </c>
      <c r="Z111" s="389"/>
      <c r="AA111" s="389"/>
      <c r="AB111" s="389"/>
      <c r="AC111" s="389"/>
      <c r="AD111" s="389"/>
      <c r="AE111" s="389"/>
      <c r="AF111" s="389"/>
      <c r="AG111" s="389"/>
      <c r="AH111" s="389"/>
      <c r="AI111" s="389"/>
      <c r="AJ111" s="389"/>
      <c r="AK111" s="389"/>
      <c r="AL111" s="389"/>
      <c r="AM111" s="389"/>
      <c r="AN111" s="389"/>
      <c r="AO111" s="390"/>
      <c r="BG111" s="15" t="s">
        <v>515</v>
      </c>
      <c r="BH111" s="15">
        <v>21</v>
      </c>
      <c r="BI111" s="15">
        <v>22</v>
      </c>
      <c r="BJ111" s="15">
        <v>106</v>
      </c>
      <c r="BK111" s="15" cm="1">
        <f t="array" ref="BK111">_xlfn.IFS($AI$12&gt;=14,111,$AI$12&gt;=10,110,$AI$12&gt;=6,109,$AI$12&gt;=1,108,1,0)</f>
        <v>0</v>
      </c>
    </row>
    <row r="112" spans="1:72" ht="16.5" customHeight="1">
      <c r="A112" s="233">
        <v>83</v>
      </c>
      <c r="B112" s="405"/>
      <c r="C112" s="389"/>
      <c r="D112" s="389"/>
      <c r="E112" s="389"/>
      <c r="F112" s="400" t="s">
        <v>1755</v>
      </c>
      <c r="G112" s="401" t="s">
        <v>5798</v>
      </c>
      <c r="H112" s="389"/>
      <c r="I112" s="389"/>
      <c r="J112" s="394" t="s">
        <v>483</v>
      </c>
      <c r="K112" s="395" t="s">
        <v>1712</v>
      </c>
      <c r="L112" s="400" t="s">
        <v>4614</v>
      </c>
      <c r="M112" s="401" t="s">
        <v>4615</v>
      </c>
      <c r="N112" s="389"/>
      <c r="O112" s="389"/>
      <c r="P112" s="389"/>
      <c r="Q112" s="389"/>
      <c r="R112" s="408"/>
      <c r="S112" s="408"/>
      <c r="T112" s="389"/>
      <c r="U112" s="389"/>
      <c r="V112" s="396" t="s">
        <v>1698</v>
      </c>
      <c r="W112" s="397" t="s">
        <v>1699</v>
      </c>
      <c r="X112" s="389"/>
      <c r="Y112" s="389"/>
      <c r="Z112" s="389"/>
      <c r="AA112" s="389"/>
      <c r="AB112" s="389"/>
      <c r="AC112" s="389"/>
      <c r="AD112" s="389"/>
      <c r="AE112" s="389"/>
      <c r="AF112" s="389"/>
      <c r="AG112" s="389"/>
      <c r="AH112" s="389"/>
      <c r="AI112" s="389"/>
      <c r="AJ112" s="389"/>
      <c r="AK112" s="389"/>
      <c r="AL112" s="389"/>
      <c r="AM112" s="389"/>
      <c r="AN112" s="389"/>
      <c r="AO112" s="390"/>
      <c r="BG112" s="15" t="s">
        <v>516</v>
      </c>
      <c r="BH112" s="15">
        <v>21</v>
      </c>
      <c r="BI112" s="15">
        <v>22</v>
      </c>
      <c r="BJ112" s="15">
        <v>112</v>
      </c>
      <c r="BK112" s="15" cm="1">
        <f t="array" ref="BK112">_xlfn.IFS($AI$12&gt;=14,119,$AI$12&gt;=10,118,$AI$12&gt;=6,117,$AI$12&gt;=1,116,1,0)</f>
        <v>0</v>
      </c>
    </row>
    <row r="113" spans="1:63" ht="16.5" customHeight="1">
      <c r="A113" s="233">
        <v>84</v>
      </c>
      <c r="B113" s="405"/>
      <c r="C113" s="389"/>
      <c r="D113" s="389"/>
      <c r="E113" s="389"/>
      <c r="F113" s="400" t="s">
        <v>1762</v>
      </c>
      <c r="G113" s="401" t="s">
        <v>1763</v>
      </c>
      <c r="H113" s="389"/>
      <c r="I113" s="389"/>
      <c r="J113" s="394" t="s">
        <v>1719</v>
      </c>
      <c r="K113" s="395" t="s">
        <v>1720</v>
      </c>
      <c r="L113" s="400" t="s">
        <v>4616</v>
      </c>
      <c r="M113" s="401" t="s">
        <v>4617</v>
      </c>
      <c r="N113" s="389"/>
      <c r="O113" s="389"/>
      <c r="P113" s="389"/>
      <c r="Q113" s="389"/>
      <c r="R113" s="408"/>
      <c r="S113" s="408"/>
      <c r="T113" s="389"/>
      <c r="U113" s="389"/>
      <c r="V113" s="396" t="s">
        <v>1707</v>
      </c>
      <c r="W113" s="397" t="s">
        <v>1708</v>
      </c>
      <c r="X113" s="389"/>
      <c r="Y113" s="389"/>
      <c r="Z113" s="389"/>
      <c r="AA113" s="389"/>
      <c r="AB113" s="389"/>
      <c r="AC113" s="389"/>
      <c r="AD113" s="389"/>
      <c r="AE113" s="389"/>
      <c r="AF113" s="389"/>
      <c r="AG113" s="389"/>
      <c r="AH113" s="389"/>
      <c r="AI113" s="389"/>
      <c r="AJ113" s="389"/>
      <c r="AK113" s="389"/>
      <c r="AL113" s="389"/>
      <c r="AM113" s="389"/>
      <c r="AN113" s="389"/>
      <c r="AO113" s="390"/>
      <c r="BG113" s="15" t="s">
        <v>1884</v>
      </c>
      <c r="BH113" s="15">
        <v>21</v>
      </c>
      <c r="BI113" s="15">
        <v>22</v>
      </c>
      <c r="BJ113" s="15">
        <v>120</v>
      </c>
      <c r="BK113" s="15" cm="1">
        <f t="array" ref="BK113">_xlfn.IFS($AI$12&gt;=14,127,$AI$12&gt;=10,126,$AI$12&gt;=6,125,$AI$12&gt;=1,123,1,0)</f>
        <v>0</v>
      </c>
    </row>
    <row r="114" spans="1:63" ht="16.5" customHeight="1" thickBot="1">
      <c r="A114" s="233">
        <v>85</v>
      </c>
      <c r="B114" s="405"/>
      <c r="C114" s="389"/>
      <c r="D114" s="389"/>
      <c r="E114" s="389"/>
      <c r="F114" s="400" t="s">
        <v>886</v>
      </c>
      <c r="G114" s="401" t="s">
        <v>1769</v>
      </c>
      <c r="H114" s="389"/>
      <c r="I114" s="389"/>
      <c r="J114" s="394" t="s">
        <v>1726</v>
      </c>
      <c r="K114" s="395" t="s">
        <v>1727</v>
      </c>
      <c r="L114" s="400" t="s">
        <v>4618</v>
      </c>
      <c r="M114" s="401" t="s">
        <v>4619</v>
      </c>
      <c r="N114" s="389"/>
      <c r="O114" s="389"/>
      <c r="P114" s="389"/>
      <c r="Q114" s="389"/>
      <c r="R114" s="408"/>
      <c r="S114" s="408"/>
      <c r="T114" s="389"/>
      <c r="U114" s="389"/>
      <c r="V114" s="396" t="s">
        <v>1715</v>
      </c>
      <c r="W114" s="397" t="s">
        <v>1716</v>
      </c>
      <c r="X114" s="389"/>
      <c r="Y114" s="389"/>
      <c r="Z114" s="389"/>
      <c r="AA114" s="389"/>
      <c r="AB114" s="389"/>
      <c r="AC114" s="389"/>
      <c r="AD114" s="389"/>
      <c r="AE114" s="389"/>
      <c r="AF114" s="389"/>
      <c r="AG114" s="389"/>
      <c r="AH114" s="389"/>
      <c r="AI114" s="389"/>
      <c r="AJ114" s="389"/>
      <c r="AK114" s="389"/>
      <c r="AL114" s="389"/>
      <c r="AM114" s="389"/>
      <c r="AN114" s="389"/>
      <c r="AO114" s="390"/>
      <c r="BG114" s="15" t="s">
        <v>4656</v>
      </c>
      <c r="BH114" s="15">
        <v>21</v>
      </c>
      <c r="BI114" s="15">
        <v>22</v>
      </c>
      <c r="BJ114" s="15">
        <v>128</v>
      </c>
      <c r="BK114" s="15" cm="1">
        <f t="array" ref="BK114">_xlfn.IFS($AI$12&gt;=14,132,$AI$12&gt;=10,131,$AI$12&gt;=6,130,$AI$12&gt;=1,129,1,0)</f>
        <v>0</v>
      </c>
    </row>
    <row r="115" spans="1:63" ht="16.5" customHeight="1" thickTop="1">
      <c r="A115" s="233">
        <v>86</v>
      </c>
      <c r="B115" s="405"/>
      <c r="C115" s="389"/>
      <c r="D115" s="389"/>
      <c r="E115" s="389"/>
      <c r="F115" s="400" t="s">
        <v>1774</v>
      </c>
      <c r="G115" s="401" t="s">
        <v>1775</v>
      </c>
      <c r="H115" s="389"/>
      <c r="I115" s="389"/>
      <c r="J115" s="394" t="s">
        <v>1734</v>
      </c>
      <c r="K115" s="395" t="s">
        <v>1735</v>
      </c>
      <c r="L115" s="400" t="s">
        <v>4620</v>
      </c>
      <c r="M115" s="401" t="s">
        <v>4621</v>
      </c>
      <c r="N115" s="389"/>
      <c r="O115" s="389"/>
      <c r="P115" s="389"/>
      <c r="Q115" s="389"/>
      <c r="R115" s="408"/>
      <c r="S115" s="408"/>
      <c r="T115" s="389"/>
      <c r="U115" s="389"/>
      <c r="V115" s="394" t="s">
        <v>512</v>
      </c>
      <c r="W115" s="395" t="s">
        <v>1723</v>
      </c>
      <c r="X115" s="389"/>
      <c r="Y115" s="389"/>
      <c r="Z115" s="389"/>
      <c r="AA115" s="389"/>
      <c r="AB115" s="389"/>
      <c r="AC115" s="389"/>
      <c r="AD115" s="389"/>
      <c r="AE115" s="389"/>
      <c r="AF115" s="389"/>
      <c r="AG115" s="389"/>
      <c r="AH115" s="389"/>
      <c r="AI115" s="389"/>
      <c r="AJ115" s="389"/>
      <c r="AK115" s="389"/>
      <c r="AL115" s="389"/>
      <c r="AM115" s="389"/>
      <c r="AN115" s="389"/>
      <c r="AO115" s="390"/>
      <c r="BG115" s="235" t="s">
        <v>3619</v>
      </c>
      <c r="BH115" s="235">
        <v>23</v>
      </c>
      <c r="BI115" s="235">
        <v>24</v>
      </c>
      <c r="BJ115" s="235">
        <v>19</v>
      </c>
      <c r="BK115" s="235" cm="1">
        <f t="array" ref="BK115">_xlfn.IFS($AI$13&gt;=14,23,$AI$13&gt;=10,22,$AI$13&gt;=6,21,$AI$13&gt;=2,20,1,0)</f>
        <v>0</v>
      </c>
    </row>
    <row r="116" spans="1:63" ht="16.5" customHeight="1">
      <c r="A116" s="233">
        <v>87</v>
      </c>
      <c r="B116" s="405"/>
      <c r="C116" s="389"/>
      <c r="D116" s="389"/>
      <c r="E116" s="389"/>
      <c r="F116" s="394" t="s">
        <v>1780</v>
      </c>
      <c r="G116" s="395" t="s">
        <v>1781</v>
      </c>
      <c r="H116" s="389"/>
      <c r="I116" s="389"/>
      <c r="J116" s="394" t="s">
        <v>1742</v>
      </c>
      <c r="K116" s="395" t="s">
        <v>1743</v>
      </c>
      <c r="L116" s="400" t="s">
        <v>4622</v>
      </c>
      <c r="M116" s="401" t="s">
        <v>4623</v>
      </c>
      <c r="N116" s="389"/>
      <c r="O116" s="389"/>
      <c r="P116" s="389"/>
      <c r="Q116" s="389"/>
      <c r="R116" s="408"/>
      <c r="S116" s="408"/>
      <c r="T116" s="389"/>
      <c r="U116" s="389"/>
      <c r="V116" s="394" t="s">
        <v>1730</v>
      </c>
      <c r="W116" s="395" t="s">
        <v>1731</v>
      </c>
      <c r="X116" s="389"/>
      <c r="Y116" s="389"/>
      <c r="Z116" s="389"/>
      <c r="AA116" s="389"/>
      <c r="AB116" s="389"/>
      <c r="AC116" s="389"/>
      <c r="AD116" s="389"/>
      <c r="AE116" s="389"/>
      <c r="AF116" s="389"/>
      <c r="AG116" s="389"/>
      <c r="AH116" s="389"/>
      <c r="AI116" s="389"/>
      <c r="AJ116" s="389"/>
      <c r="AK116" s="389"/>
      <c r="AL116" s="389"/>
      <c r="AM116" s="389"/>
      <c r="AN116" s="389"/>
      <c r="AO116" s="390"/>
      <c r="BG116" s="15" t="s">
        <v>3620</v>
      </c>
      <c r="BH116" s="15">
        <v>23</v>
      </c>
      <c r="BI116" s="15">
        <v>24</v>
      </c>
      <c r="BJ116" s="15">
        <v>24</v>
      </c>
      <c r="BK116" s="15" cm="1">
        <f t="array" ref="BK116">_xlfn.IFS($AI$13&gt;=14,28,$AI$13&gt;=10,27,$AI$13&gt;=6,26,$AI$13&gt;=2,25,1,0)</f>
        <v>0</v>
      </c>
    </row>
    <row r="117" spans="1:63" ht="16.5" customHeight="1">
      <c r="A117" s="233">
        <v>88</v>
      </c>
      <c r="B117" s="405"/>
      <c r="C117" s="389"/>
      <c r="D117" s="389"/>
      <c r="E117" s="389"/>
      <c r="F117" s="394" t="s">
        <v>884</v>
      </c>
      <c r="G117" s="395" t="s">
        <v>5799</v>
      </c>
      <c r="H117" s="389"/>
      <c r="I117" s="389"/>
      <c r="J117" s="400" t="s">
        <v>1749</v>
      </c>
      <c r="K117" s="401" t="s">
        <v>1750</v>
      </c>
      <c r="L117" s="400" t="s">
        <v>4624</v>
      </c>
      <c r="M117" s="401" t="s">
        <v>4625</v>
      </c>
      <c r="N117" s="389"/>
      <c r="O117" s="389"/>
      <c r="P117" s="389"/>
      <c r="Q117" s="389"/>
      <c r="R117" s="408"/>
      <c r="S117" s="408"/>
      <c r="T117" s="389"/>
      <c r="U117" s="389"/>
      <c r="V117" s="394" t="s">
        <v>1736</v>
      </c>
      <c r="W117" s="395" t="s">
        <v>1737</v>
      </c>
      <c r="X117" s="389"/>
      <c r="Y117" s="389"/>
      <c r="Z117" s="389"/>
      <c r="AA117" s="389"/>
      <c r="AB117" s="389"/>
      <c r="AC117" s="389"/>
      <c r="AD117" s="389"/>
      <c r="AE117" s="389"/>
      <c r="AF117" s="389"/>
      <c r="AG117" s="389"/>
      <c r="AH117" s="389"/>
      <c r="AI117" s="389"/>
      <c r="AJ117" s="389"/>
      <c r="AK117" s="389"/>
      <c r="AL117" s="389"/>
      <c r="AM117" s="389"/>
      <c r="AN117" s="389"/>
      <c r="AO117" s="390"/>
      <c r="BG117" s="15" t="s">
        <v>3621</v>
      </c>
      <c r="BH117" s="15">
        <v>23</v>
      </c>
      <c r="BI117" s="15">
        <v>24</v>
      </c>
      <c r="BJ117" s="15">
        <v>29</v>
      </c>
      <c r="BK117" s="15" cm="1">
        <f t="array" ref="BK117">_xlfn.IFS($AI$13&gt;=14,33,$AI$13&gt;=10,32,$AI$13&gt;=6,31,$AI$13&gt;=2,30,1,0)</f>
        <v>0</v>
      </c>
    </row>
    <row r="118" spans="1:63" ht="16.5" customHeight="1">
      <c r="A118" s="233">
        <v>89</v>
      </c>
      <c r="B118" s="405"/>
      <c r="C118" s="389"/>
      <c r="D118" s="389"/>
      <c r="E118" s="389"/>
      <c r="F118" s="394" t="s">
        <v>1789</v>
      </c>
      <c r="G118" s="395" t="s">
        <v>1790</v>
      </c>
      <c r="H118" s="389"/>
      <c r="I118" s="389"/>
      <c r="J118" s="400" t="s">
        <v>1756</v>
      </c>
      <c r="K118" s="401" t="s">
        <v>1757</v>
      </c>
      <c r="L118" s="389"/>
      <c r="M118" s="389"/>
      <c r="N118" s="389"/>
      <c r="O118" s="389"/>
      <c r="P118" s="389"/>
      <c r="Q118" s="389"/>
      <c r="R118" s="408"/>
      <c r="S118" s="408"/>
      <c r="T118" s="389"/>
      <c r="U118" s="389"/>
      <c r="V118" s="394" t="s">
        <v>1744</v>
      </c>
      <c r="W118" s="395" t="s">
        <v>1745</v>
      </c>
      <c r="X118" s="389"/>
      <c r="Y118" s="389"/>
      <c r="Z118" s="389"/>
      <c r="AA118" s="389"/>
      <c r="AB118" s="389"/>
      <c r="AC118" s="389"/>
      <c r="AD118" s="389"/>
      <c r="AE118" s="389"/>
      <c r="AF118" s="389"/>
      <c r="AG118" s="389"/>
      <c r="AH118" s="389"/>
      <c r="AI118" s="389"/>
      <c r="AJ118" s="389"/>
      <c r="AK118" s="389"/>
      <c r="AL118" s="389"/>
      <c r="AM118" s="389"/>
      <c r="AN118" s="389"/>
      <c r="AO118" s="390"/>
      <c r="BG118" s="15" t="s">
        <v>3622</v>
      </c>
      <c r="BH118" s="15">
        <v>23</v>
      </c>
      <c r="BI118" s="15">
        <v>24</v>
      </c>
      <c r="BJ118" s="15">
        <v>34</v>
      </c>
      <c r="BK118" s="15" cm="1">
        <f t="array" ref="BK118">_xlfn.IFS($AI$13&gt;=14,38,$AI$13&gt;=10,37,$AI$13&gt;=6,36,$AI$13&gt;=2,35,1,0)</f>
        <v>0</v>
      </c>
    </row>
    <row r="119" spans="1:63" ht="16.5" customHeight="1">
      <c r="A119" s="233">
        <v>90</v>
      </c>
      <c r="B119" s="405"/>
      <c r="C119" s="389"/>
      <c r="D119" s="389"/>
      <c r="E119" s="389"/>
      <c r="F119" s="394" t="s">
        <v>1795</v>
      </c>
      <c r="G119" s="395" t="s">
        <v>1796</v>
      </c>
      <c r="H119" s="389"/>
      <c r="I119" s="389"/>
      <c r="J119" s="400" t="s">
        <v>1764</v>
      </c>
      <c r="K119" s="401" t="s">
        <v>1765</v>
      </c>
      <c r="L119" s="389"/>
      <c r="M119" s="389"/>
      <c r="N119" s="389"/>
      <c r="O119" s="389"/>
      <c r="P119" s="389"/>
      <c r="Q119" s="389"/>
      <c r="R119" s="408"/>
      <c r="S119" s="408"/>
      <c r="T119" s="389"/>
      <c r="U119" s="389"/>
      <c r="V119" s="394" t="s">
        <v>1751</v>
      </c>
      <c r="W119" s="395" t="s">
        <v>1752</v>
      </c>
      <c r="X119" s="389"/>
      <c r="Y119" s="389"/>
      <c r="Z119" s="389"/>
      <c r="AA119" s="389"/>
      <c r="AB119" s="389"/>
      <c r="AC119" s="389"/>
      <c r="AD119" s="389"/>
      <c r="AE119" s="389"/>
      <c r="AF119" s="389"/>
      <c r="AG119" s="389"/>
      <c r="AH119" s="389"/>
      <c r="AI119" s="389"/>
      <c r="AJ119" s="389"/>
      <c r="AK119" s="389"/>
      <c r="AL119" s="389"/>
      <c r="AM119" s="389"/>
      <c r="AN119" s="389"/>
      <c r="AO119" s="390"/>
      <c r="BG119" s="15" t="s">
        <v>3623</v>
      </c>
      <c r="BH119" s="15">
        <v>23</v>
      </c>
      <c r="BI119" s="15">
        <v>24</v>
      </c>
      <c r="BJ119" s="15">
        <v>39</v>
      </c>
      <c r="BK119" s="15" cm="1">
        <f t="array" ref="BK119">_xlfn.IFS($AI$13&gt;=14,43,$AI$13&gt;=10,42,$AI$13&gt;=6,41,$AI$13&gt;=2,40,1,0)</f>
        <v>0</v>
      </c>
    </row>
    <row r="120" spans="1:63" ht="16.5" customHeight="1">
      <c r="A120" s="233">
        <v>91</v>
      </c>
      <c r="B120" s="405"/>
      <c r="C120" s="389"/>
      <c r="D120" s="389"/>
      <c r="E120" s="389"/>
      <c r="F120" s="394" t="s">
        <v>1801</v>
      </c>
      <c r="G120" s="395" t="s">
        <v>5800</v>
      </c>
      <c r="H120" s="389"/>
      <c r="I120" s="389"/>
      <c r="J120" s="400" t="s">
        <v>1770</v>
      </c>
      <c r="K120" s="401" t="s">
        <v>1771</v>
      </c>
      <c r="L120" s="389"/>
      <c r="M120" s="389"/>
      <c r="N120" s="389"/>
      <c r="O120" s="389"/>
      <c r="P120" s="389"/>
      <c r="Q120" s="389"/>
      <c r="R120" s="408"/>
      <c r="S120" s="408"/>
      <c r="T120" s="389"/>
      <c r="U120" s="389"/>
      <c r="V120" s="394" t="s">
        <v>1758</v>
      </c>
      <c r="W120" s="395" t="s">
        <v>1759</v>
      </c>
      <c r="X120" s="389"/>
      <c r="Y120" s="389"/>
      <c r="Z120" s="389"/>
      <c r="AA120" s="389"/>
      <c r="AB120" s="389"/>
      <c r="AC120" s="389"/>
      <c r="AD120" s="389"/>
      <c r="AE120" s="389"/>
      <c r="AF120" s="389"/>
      <c r="AG120" s="389"/>
      <c r="AH120" s="389"/>
      <c r="AI120" s="389"/>
      <c r="AJ120" s="389"/>
      <c r="AK120" s="389"/>
      <c r="AL120" s="389"/>
      <c r="AM120" s="389"/>
      <c r="AN120" s="389"/>
      <c r="AO120" s="390"/>
      <c r="BG120" s="15" t="s">
        <v>3624</v>
      </c>
      <c r="BH120" s="15">
        <v>23</v>
      </c>
      <c r="BI120" s="15">
        <v>24</v>
      </c>
      <c r="BJ120" s="15">
        <v>44</v>
      </c>
      <c r="BK120" s="15" cm="1">
        <f t="array" ref="BK120">_xlfn.IFS($AI$13&gt;=14,48,$AI$13&gt;=10,47,$AI$13&gt;=6,46,$AI$13&gt;=2,45,1,0)</f>
        <v>0</v>
      </c>
    </row>
    <row r="121" spans="1:63" ht="16.5" customHeight="1">
      <c r="A121" s="233">
        <v>92</v>
      </c>
      <c r="B121" s="405"/>
      <c r="C121" s="389"/>
      <c r="D121" s="389"/>
      <c r="E121" s="389"/>
      <c r="F121" s="394" t="s">
        <v>1010</v>
      </c>
      <c r="G121" s="395" t="s">
        <v>5801</v>
      </c>
      <c r="H121" s="389"/>
      <c r="I121" s="389"/>
      <c r="J121" s="400" t="s">
        <v>1776</v>
      </c>
      <c r="K121" s="401" t="s">
        <v>1777</v>
      </c>
      <c r="L121" s="389"/>
      <c r="M121" s="389"/>
      <c r="N121" s="389"/>
      <c r="O121" s="389"/>
      <c r="P121" s="389"/>
      <c r="Q121" s="389"/>
      <c r="R121" s="408"/>
      <c r="S121" s="408"/>
      <c r="T121" s="389"/>
      <c r="U121" s="389"/>
      <c r="V121" s="400" t="s">
        <v>513</v>
      </c>
      <c r="W121" s="401" t="s">
        <v>1766</v>
      </c>
      <c r="X121" s="389"/>
      <c r="Y121" s="389"/>
      <c r="Z121" s="389"/>
      <c r="AA121" s="389"/>
      <c r="AB121" s="389"/>
      <c r="AC121" s="389"/>
      <c r="AD121" s="389"/>
      <c r="AE121" s="389"/>
      <c r="AF121" s="389"/>
      <c r="AG121" s="389"/>
      <c r="AH121" s="389"/>
      <c r="AI121" s="389"/>
      <c r="AJ121" s="389"/>
      <c r="AK121" s="389"/>
      <c r="AL121" s="389"/>
      <c r="AM121" s="389"/>
      <c r="AN121" s="389"/>
      <c r="AO121" s="390"/>
      <c r="BG121" s="15" t="s">
        <v>3625</v>
      </c>
      <c r="BH121" s="15">
        <v>23</v>
      </c>
      <c r="BI121" s="15">
        <v>24</v>
      </c>
      <c r="BJ121" s="15">
        <v>49</v>
      </c>
      <c r="BK121" s="15" cm="1">
        <f t="array" ref="BK121">_xlfn.IFS($AI$13&gt;=14,53,$AI$13&gt;=10,52,$AI$13&gt;=6,51,$AI$13&gt;=2,50,1,0)</f>
        <v>0</v>
      </c>
    </row>
    <row r="122" spans="1:63" ht="16.5" customHeight="1">
      <c r="A122" s="233">
        <v>93</v>
      </c>
      <c r="B122" s="405"/>
      <c r="C122" s="389"/>
      <c r="D122" s="389"/>
      <c r="E122" s="389"/>
      <c r="F122" s="394" t="s">
        <v>1809</v>
      </c>
      <c r="G122" s="395" t="s">
        <v>5802</v>
      </c>
      <c r="H122" s="389"/>
      <c r="I122" s="389"/>
      <c r="J122" s="400" t="s">
        <v>1782</v>
      </c>
      <c r="K122" s="401" t="s">
        <v>1783</v>
      </c>
      <c r="L122" s="389"/>
      <c r="M122" s="389"/>
      <c r="N122" s="389"/>
      <c r="O122" s="389"/>
      <c r="P122" s="389"/>
      <c r="Q122" s="389"/>
      <c r="R122" s="408"/>
      <c r="S122" s="408"/>
      <c r="T122" s="389"/>
      <c r="U122" s="389"/>
      <c r="V122" s="400" t="s">
        <v>1772</v>
      </c>
      <c r="W122" s="401" t="s">
        <v>1773</v>
      </c>
      <c r="X122" s="389"/>
      <c r="Y122" s="389"/>
      <c r="Z122" s="389"/>
      <c r="AA122" s="389"/>
      <c r="AB122" s="389"/>
      <c r="AC122" s="389"/>
      <c r="AD122" s="389"/>
      <c r="AE122" s="389"/>
      <c r="AF122" s="389"/>
      <c r="AG122" s="389"/>
      <c r="AH122" s="389"/>
      <c r="AI122" s="389"/>
      <c r="AJ122" s="389"/>
      <c r="AK122" s="389"/>
      <c r="AL122" s="389"/>
      <c r="AM122" s="389"/>
      <c r="AN122" s="389"/>
      <c r="AO122" s="390"/>
      <c r="BG122" s="15" t="s">
        <v>3626</v>
      </c>
      <c r="BH122" s="15">
        <v>23</v>
      </c>
      <c r="BI122" s="15">
        <v>24</v>
      </c>
      <c r="BJ122" s="15">
        <v>54</v>
      </c>
      <c r="BK122" s="15" cm="1">
        <f t="array" ref="BK122">_xlfn.IFS($AI$13&gt;=14,58,$AI$13&gt;=10,57,$AI$13&gt;=6,56,$AI$13&gt;=2,55,1,0)</f>
        <v>0</v>
      </c>
    </row>
    <row r="123" spans="1:63" ht="16.5" customHeight="1">
      <c r="A123" s="233">
        <v>94</v>
      </c>
      <c r="B123" s="405"/>
      <c r="C123" s="389"/>
      <c r="D123" s="389"/>
      <c r="E123" s="389"/>
      <c r="F123" s="400" t="s">
        <v>1814</v>
      </c>
      <c r="G123" s="401" t="s">
        <v>1815</v>
      </c>
      <c r="H123" s="389"/>
      <c r="I123" s="389"/>
      <c r="J123" s="394" t="s">
        <v>1525</v>
      </c>
      <c r="K123" s="395" t="s">
        <v>1786</v>
      </c>
      <c r="L123" s="389"/>
      <c r="M123" s="389"/>
      <c r="N123" s="389"/>
      <c r="O123" s="389"/>
      <c r="P123" s="389"/>
      <c r="Q123" s="389"/>
      <c r="R123" s="408"/>
      <c r="S123" s="408"/>
      <c r="T123" s="389"/>
      <c r="U123" s="389"/>
      <c r="V123" s="400" t="s">
        <v>1778</v>
      </c>
      <c r="W123" s="401" t="s">
        <v>1779</v>
      </c>
      <c r="X123" s="389"/>
      <c r="Y123" s="389"/>
      <c r="Z123" s="389"/>
      <c r="AA123" s="389"/>
      <c r="AB123" s="389"/>
      <c r="AC123" s="389"/>
      <c r="AD123" s="389"/>
      <c r="AE123" s="389"/>
      <c r="AF123" s="389"/>
      <c r="AG123" s="389"/>
      <c r="AH123" s="389"/>
      <c r="AI123" s="389"/>
      <c r="AJ123" s="389"/>
      <c r="AK123" s="389"/>
      <c r="AL123" s="389"/>
      <c r="AM123" s="389"/>
      <c r="AN123" s="389"/>
      <c r="AO123" s="390"/>
      <c r="BG123" s="15" t="s">
        <v>1281</v>
      </c>
      <c r="BH123" s="15">
        <v>23</v>
      </c>
      <c r="BI123" s="15">
        <v>24</v>
      </c>
      <c r="BJ123" s="15">
        <v>59</v>
      </c>
      <c r="BK123" s="15" cm="1">
        <f t="array" ref="BK123">_xlfn.IFS($AI$13&gt;=14,63,$AI$13&gt;=10,62,$AI$13&gt;=6,61,$AI$13&gt;=2,60,1,0)</f>
        <v>0</v>
      </c>
    </row>
    <row r="124" spans="1:63" ht="16.5" customHeight="1">
      <c r="A124" s="233">
        <v>95</v>
      </c>
      <c r="B124" s="405"/>
      <c r="C124" s="389"/>
      <c r="D124" s="389"/>
      <c r="E124" s="389"/>
      <c r="F124" s="400" t="s">
        <v>1819</v>
      </c>
      <c r="G124" s="401" t="s">
        <v>1820</v>
      </c>
      <c r="H124" s="389"/>
      <c r="I124" s="389"/>
      <c r="J124" s="394" t="s">
        <v>1791</v>
      </c>
      <c r="K124" s="395" t="s">
        <v>1792</v>
      </c>
      <c r="L124" s="389"/>
      <c r="M124" s="389"/>
      <c r="N124" s="389"/>
      <c r="O124" s="389"/>
      <c r="P124" s="389"/>
      <c r="Q124" s="389"/>
      <c r="R124" s="408"/>
      <c r="S124" s="408"/>
      <c r="T124" s="389"/>
      <c r="U124" s="389"/>
      <c r="V124" s="400" t="s">
        <v>1784</v>
      </c>
      <c r="W124" s="401" t="s">
        <v>1785</v>
      </c>
      <c r="X124" s="389"/>
      <c r="Y124" s="389"/>
      <c r="Z124" s="389"/>
      <c r="AA124" s="389"/>
      <c r="AB124" s="389"/>
      <c r="AC124" s="389"/>
      <c r="AD124" s="389"/>
      <c r="AE124" s="389"/>
      <c r="AF124" s="389"/>
      <c r="AG124" s="389"/>
      <c r="AH124" s="389"/>
      <c r="AI124" s="389"/>
      <c r="AJ124" s="389"/>
      <c r="AK124" s="389"/>
      <c r="AL124" s="389"/>
      <c r="AM124" s="389"/>
      <c r="AN124" s="389"/>
      <c r="AO124" s="390"/>
      <c r="BG124" s="15" t="s">
        <v>3630</v>
      </c>
      <c r="BH124" s="15">
        <v>23</v>
      </c>
      <c r="BI124" s="15">
        <v>24</v>
      </c>
      <c r="BJ124" s="15">
        <v>64</v>
      </c>
      <c r="BK124" s="15" cm="1">
        <f t="array" ref="BK124">_xlfn.IFS($AI$13&gt;=14,68,$AI$13&gt;=10,67,$AI$13&gt;=6,66,$AI$13&gt;=2,65,1,0)</f>
        <v>0</v>
      </c>
    </row>
    <row r="125" spans="1:63" ht="16.5" customHeight="1">
      <c r="A125" s="233">
        <v>96</v>
      </c>
      <c r="B125" s="405"/>
      <c r="C125" s="389"/>
      <c r="D125" s="389"/>
      <c r="E125" s="389"/>
      <c r="F125" s="400" t="s">
        <v>1824</v>
      </c>
      <c r="G125" s="401" t="s">
        <v>5803</v>
      </c>
      <c r="H125" s="389"/>
      <c r="I125" s="389"/>
      <c r="J125" s="394" t="s">
        <v>1797</v>
      </c>
      <c r="K125" s="395" t="s">
        <v>1798</v>
      </c>
      <c r="L125" s="389"/>
      <c r="M125" s="389"/>
      <c r="N125" s="389"/>
      <c r="O125" s="389"/>
      <c r="P125" s="389"/>
      <c r="Q125" s="389"/>
      <c r="R125" s="408"/>
      <c r="S125" s="408"/>
      <c r="T125" s="389"/>
      <c r="U125" s="389"/>
      <c r="V125" s="400" t="s">
        <v>1787</v>
      </c>
      <c r="W125" s="401" t="s">
        <v>1788</v>
      </c>
      <c r="X125" s="389"/>
      <c r="Y125" s="389"/>
      <c r="Z125" s="389"/>
      <c r="AA125" s="389"/>
      <c r="AB125" s="389"/>
      <c r="AC125" s="389"/>
      <c r="AD125" s="389"/>
      <c r="AE125" s="389"/>
      <c r="AF125" s="389"/>
      <c r="AG125" s="389"/>
      <c r="AH125" s="389"/>
      <c r="AI125" s="389"/>
      <c r="AJ125" s="389"/>
      <c r="AK125" s="389"/>
      <c r="AL125" s="389"/>
      <c r="AM125" s="389"/>
      <c r="AN125" s="389"/>
      <c r="AO125" s="390"/>
      <c r="BG125" s="15" t="s">
        <v>3628</v>
      </c>
      <c r="BH125" s="15">
        <v>23</v>
      </c>
      <c r="BI125" s="15">
        <v>24</v>
      </c>
      <c r="BJ125" s="15">
        <v>69</v>
      </c>
      <c r="BK125" s="15" cm="1">
        <f t="array" ref="BK125">_xlfn.IFS($AI$13&gt;=14,73,$AI$13&gt;=10,72,$AI$13&gt;=6,71,$AI$13&gt;=2,70,1,0)</f>
        <v>0</v>
      </c>
    </row>
    <row r="126" spans="1:63" ht="16.5" customHeight="1">
      <c r="A126" s="233">
        <v>97</v>
      </c>
      <c r="B126" s="405"/>
      <c r="C126" s="389"/>
      <c r="D126" s="389"/>
      <c r="E126" s="389"/>
      <c r="F126" s="400" t="s">
        <v>1829</v>
      </c>
      <c r="G126" s="401" t="s">
        <v>5804</v>
      </c>
      <c r="H126" s="389"/>
      <c r="I126" s="389"/>
      <c r="J126" s="394" t="s">
        <v>1802</v>
      </c>
      <c r="K126" s="395" t="s">
        <v>1803</v>
      </c>
      <c r="L126" s="389"/>
      <c r="M126" s="389"/>
      <c r="N126" s="389"/>
      <c r="O126" s="389"/>
      <c r="P126" s="389"/>
      <c r="Q126" s="389"/>
      <c r="R126" s="408"/>
      <c r="S126" s="408"/>
      <c r="T126" s="389"/>
      <c r="U126" s="389"/>
      <c r="V126" s="400" t="s">
        <v>1793</v>
      </c>
      <c r="W126" s="401" t="s">
        <v>1794</v>
      </c>
      <c r="X126" s="389"/>
      <c r="Y126" s="389"/>
      <c r="Z126" s="389"/>
      <c r="AA126" s="389"/>
      <c r="AB126" s="389"/>
      <c r="AC126" s="389"/>
      <c r="AD126" s="389"/>
      <c r="AE126" s="389"/>
      <c r="AF126" s="389"/>
      <c r="AG126" s="389"/>
      <c r="AH126" s="389"/>
      <c r="AI126" s="389"/>
      <c r="AJ126" s="389"/>
      <c r="AK126" s="389"/>
      <c r="AL126" s="389"/>
      <c r="AM126" s="389"/>
      <c r="AN126" s="389"/>
      <c r="AO126" s="390"/>
      <c r="BG126" s="15" t="s">
        <v>3629</v>
      </c>
      <c r="BH126" s="15">
        <v>23</v>
      </c>
      <c r="BI126" s="15">
        <v>24</v>
      </c>
      <c r="BJ126" s="15">
        <v>74</v>
      </c>
      <c r="BK126" s="15" cm="1">
        <f t="array" ref="BK126">_xlfn.IFS($AI$13&gt;=14,77,$AI$13&gt;=10,76,$AI$13&gt;=6,75,$AI$13&gt;=2,74,1,0)</f>
        <v>0</v>
      </c>
    </row>
    <row r="127" spans="1:63" ht="16.5" customHeight="1" thickBot="1">
      <c r="A127" s="233">
        <v>98</v>
      </c>
      <c r="B127" s="405"/>
      <c r="C127" s="389"/>
      <c r="D127" s="389"/>
      <c r="E127" s="389"/>
      <c r="F127" s="400" t="s">
        <v>1834</v>
      </c>
      <c r="G127" s="401" t="s">
        <v>1835</v>
      </c>
      <c r="H127" s="389"/>
      <c r="I127" s="389"/>
      <c r="J127" s="394" t="s">
        <v>1805</v>
      </c>
      <c r="K127" s="395" t="s">
        <v>1806</v>
      </c>
      <c r="L127" s="389"/>
      <c r="M127" s="389"/>
      <c r="N127" s="389"/>
      <c r="O127" s="389"/>
      <c r="P127" s="389"/>
      <c r="Q127" s="389"/>
      <c r="R127" s="408"/>
      <c r="S127" s="408"/>
      <c r="T127" s="389"/>
      <c r="U127" s="389"/>
      <c r="V127" s="400" t="s">
        <v>1799</v>
      </c>
      <c r="W127" s="401" t="s">
        <v>1800</v>
      </c>
      <c r="X127" s="389"/>
      <c r="Y127" s="389"/>
      <c r="Z127" s="389"/>
      <c r="AA127" s="389"/>
      <c r="AB127" s="389"/>
      <c r="AC127" s="389"/>
      <c r="AD127" s="389"/>
      <c r="AE127" s="389"/>
      <c r="AF127" s="389"/>
      <c r="AG127" s="389"/>
      <c r="AH127" s="389"/>
      <c r="AI127" s="389"/>
      <c r="AJ127" s="389"/>
      <c r="AK127" s="389"/>
      <c r="AL127" s="389"/>
      <c r="AM127" s="389"/>
      <c r="AN127" s="389"/>
      <c r="AO127" s="390"/>
      <c r="BG127" s="15" t="s">
        <v>3627</v>
      </c>
      <c r="BH127" s="15">
        <v>23</v>
      </c>
      <c r="BI127" s="15">
        <v>24</v>
      </c>
      <c r="BJ127" s="15">
        <v>78</v>
      </c>
      <c r="BK127" s="15" cm="1">
        <f t="array" ref="BK127">_xlfn.IFS($AI$13&gt;=14,82,$AI$13&gt;=10,81,$AI$13&gt;=6,80,$AI$13&gt;=2,79,1,0)</f>
        <v>0</v>
      </c>
    </row>
    <row r="128" spans="1:63" ht="16.5" customHeight="1" thickTop="1">
      <c r="A128" s="233">
        <v>99</v>
      </c>
      <c r="B128" s="405"/>
      <c r="C128" s="389"/>
      <c r="D128" s="389"/>
      <c r="E128" s="389"/>
      <c r="F128" s="400" t="s">
        <v>886</v>
      </c>
      <c r="G128" s="401" t="s">
        <v>1839</v>
      </c>
      <c r="H128" s="389"/>
      <c r="I128" s="389"/>
      <c r="J128" s="394" t="s">
        <v>1810</v>
      </c>
      <c r="K128" s="395" t="s">
        <v>1811</v>
      </c>
      <c r="L128" s="389"/>
      <c r="O128" s="389"/>
      <c r="P128" s="389"/>
      <c r="Q128" s="389"/>
      <c r="R128" s="408"/>
      <c r="S128" s="408"/>
      <c r="T128" s="389"/>
      <c r="U128" s="389"/>
      <c r="V128" s="394" t="s">
        <v>514</v>
      </c>
      <c r="W128" s="395" t="s">
        <v>1804</v>
      </c>
      <c r="X128" s="389"/>
      <c r="Y128" s="389"/>
      <c r="Z128" s="389"/>
      <c r="AA128" s="389"/>
      <c r="AB128" s="389"/>
      <c r="AC128" s="389"/>
      <c r="AD128" s="389"/>
      <c r="AE128" s="389"/>
      <c r="AF128" s="389"/>
      <c r="AG128" s="389"/>
      <c r="AH128" s="389"/>
      <c r="AI128" s="389"/>
      <c r="AJ128" s="389"/>
      <c r="AK128" s="389"/>
      <c r="AL128" s="389"/>
      <c r="AM128" s="389"/>
      <c r="AN128" s="389"/>
      <c r="AO128" s="390"/>
      <c r="BG128" s="235" t="s">
        <v>517</v>
      </c>
      <c r="BH128" s="235">
        <v>25</v>
      </c>
      <c r="BI128" s="235">
        <v>26</v>
      </c>
      <c r="BJ128" s="235">
        <v>42</v>
      </c>
      <c r="BK128" s="235" cm="1">
        <f t="array" ref="BK128">_xlfn.IFS($AI$14&gt;=15,47,$AI$14&gt;=9,46,$AI$14&gt;=5,45,$AI$14&gt;=3,44,1,0)</f>
        <v>0</v>
      </c>
    </row>
    <row r="129" spans="1:63" ht="16.5" customHeight="1">
      <c r="A129" s="233">
        <v>100</v>
      </c>
      <c r="B129" s="405"/>
      <c r="C129" s="389"/>
      <c r="D129" s="389"/>
      <c r="E129" s="389"/>
      <c r="F129" s="400" t="s">
        <v>1844</v>
      </c>
      <c r="G129" s="401" t="s">
        <v>5805</v>
      </c>
      <c r="H129" s="389"/>
      <c r="I129" s="389"/>
      <c r="J129" s="394" t="s">
        <v>1825</v>
      </c>
      <c r="K129" s="395" t="s">
        <v>1826</v>
      </c>
      <c r="L129" s="389"/>
      <c r="O129" s="389"/>
      <c r="P129" s="389"/>
      <c r="Q129" s="389"/>
      <c r="R129" s="408"/>
      <c r="S129" s="408"/>
      <c r="T129" s="389"/>
      <c r="U129" s="389"/>
      <c r="V129" s="394" t="s">
        <v>1807</v>
      </c>
      <c r="W129" s="395" t="s">
        <v>1808</v>
      </c>
      <c r="X129" s="389"/>
      <c r="Y129" s="389"/>
      <c r="Z129" s="389"/>
      <c r="AA129" s="389"/>
      <c r="AB129" s="389"/>
      <c r="AC129" s="389"/>
      <c r="AD129" s="389"/>
      <c r="AE129" s="389"/>
      <c r="AF129" s="389"/>
      <c r="AG129" s="389"/>
      <c r="AH129" s="389"/>
      <c r="AI129" s="389"/>
      <c r="AJ129" s="389"/>
      <c r="AK129" s="389"/>
      <c r="AL129" s="389"/>
      <c r="AM129" s="389"/>
      <c r="AN129" s="389"/>
      <c r="AO129" s="390"/>
      <c r="BG129" s="15" t="s">
        <v>518</v>
      </c>
      <c r="BH129" s="15">
        <v>25</v>
      </c>
      <c r="BI129" s="15">
        <v>26</v>
      </c>
      <c r="BJ129" s="15">
        <v>48</v>
      </c>
      <c r="BK129" s="15" cm="1">
        <f t="array" ref="BK129">_xlfn.IFS($AI$14&gt;=15,53,$AI$14&gt;=9,52,$AI$14&gt;=5,51,$AI$14&gt;=3,50,1,0)</f>
        <v>0</v>
      </c>
    </row>
    <row r="130" spans="1:63" ht="16.5" customHeight="1">
      <c r="A130" s="233">
        <v>101</v>
      </c>
      <c r="B130" s="405"/>
      <c r="C130" s="389"/>
      <c r="D130" s="389"/>
      <c r="E130" s="389"/>
      <c r="F130" s="394" t="s">
        <v>1848</v>
      </c>
      <c r="G130" s="395" t="s">
        <v>1849</v>
      </c>
      <c r="H130" s="389"/>
      <c r="I130" s="389"/>
      <c r="J130" s="394" t="s">
        <v>1816</v>
      </c>
      <c r="K130" s="395" t="s">
        <v>1817</v>
      </c>
      <c r="L130" s="389"/>
      <c r="M130" s="389"/>
      <c r="N130" s="389"/>
      <c r="O130" s="389"/>
      <c r="P130" s="389"/>
      <c r="Q130" s="389"/>
      <c r="R130" s="408"/>
      <c r="S130" s="408"/>
      <c r="T130" s="389"/>
      <c r="U130" s="389"/>
      <c r="V130" s="394" t="s">
        <v>1812</v>
      </c>
      <c r="W130" s="395" t="s">
        <v>1813</v>
      </c>
      <c r="X130" s="389"/>
      <c r="Y130" s="389"/>
      <c r="Z130" s="389"/>
      <c r="AA130" s="389"/>
      <c r="AB130" s="389"/>
      <c r="AC130" s="389"/>
      <c r="AD130" s="389"/>
      <c r="AE130" s="389"/>
      <c r="AF130" s="389"/>
      <c r="AG130" s="389"/>
      <c r="AH130" s="389"/>
      <c r="AI130" s="389"/>
      <c r="AJ130" s="389"/>
      <c r="AK130" s="389"/>
      <c r="AL130" s="389"/>
      <c r="AM130" s="389"/>
      <c r="AN130" s="389"/>
      <c r="AO130" s="390"/>
      <c r="BG130" s="15" t="s">
        <v>519</v>
      </c>
      <c r="BH130" s="15">
        <v>25</v>
      </c>
      <c r="BI130" s="15">
        <v>26</v>
      </c>
      <c r="BJ130" s="15">
        <v>54</v>
      </c>
      <c r="BK130" s="15" cm="1">
        <f t="array" ref="BK130">_xlfn.IFS($AI$14&gt;=15,60,$AI$14&gt;=9,59,$AI$14&gt;=5,58,$AI$14&gt;=3,57,1,0)</f>
        <v>0</v>
      </c>
    </row>
    <row r="131" spans="1:63" ht="16.5" customHeight="1">
      <c r="A131" s="233">
        <v>102</v>
      </c>
      <c r="B131" s="405"/>
      <c r="C131" s="389"/>
      <c r="D131" s="389"/>
      <c r="E131" s="389"/>
      <c r="F131" s="394" t="s">
        <v>884</v>
      </c>
      <c r="G131" s="395" t="s">
        <v>1854</v>
      </c>
      <c r="H131" s="389"/>
      <c r="I131" s="389"/>
      <c r="J131" s="394" t="s">
        <v>1821</v>
      </c>
      <c r="K131" s="395" t="s">
        <v>1822</v>
      </c>
      <c r="L131" s="389"/>
      <c r="M131" s="389"/>
      <c r="N131" s="389"/>
      <c r="O131" s="389"/>
      <c r="P131" s="389"/>
      <c r="Q131" s="389"/>
      <c r="R131" s="408"/>
      <c r="S131" s="408"/>
      <c r="T131" s="389"/>
      <c r="U131" s="389"/>
      <c r="V131" s="394" t="s">
        <v>1818</v>
      </c>
      <c r="W131" s="395" t="s">
        <v>5608</v>
      </c>
      <c r="X131" s="389"/>
      <c r="Y131" s="389"/>
      <c r="Z131" s="389"/>
      <c r="AA131" s="389"/>
      <c r="AB131" s="389"/>
      <c r="AC131" s="389"/>
      <c r="AD131" s="389"/>
      <c r="AE131" s="389"/>
      <c r="AF131" s="389"/>
      <c r="AG131" s="389"/>
      <c r="AH131" s="389"/>
      <c r="AI131" s="389"/>
      <c r="AJ131" s="389"/>
      <c r="AK131" s="389"/>
      <c r="AL131" s="389"/>
      <c r="AM131" s="389"/>
      <c r="AN131" s="389"/>
      <c r="AO131" s="390"/>
      <c r="BG131" s="15" t="s">
        <v>6068</v>
      </c>
      <c r="BH131" s="15">
        <v>25</v>
      </c>
      <c r="BI131" s="15">
        <v>26</v>
      </c>
      <c r="BJ131" s="15">
        <v>61</v>
      </c>
      <c r="BK131" s="15" cm="1">
        <f t="array" ref="BK131">_xlfn.IFS($AI$14&gt;=15,69,$AI$14&gt;=9,68,$AI$14&gt;=5,67,$AI$14&gt;=3,66,1,0)</f>
        <v>0</v>
      </c>
    </row>
    <row r="132" spans="1:63" ht="16.5" customHeight="1">
      <c r="A132" s="233">
        <v>103</v>
      </c>
      <c r="B132" s="405"/>
      <c r="C132" s="389"/>
      <c r="D132" s="389"/>
      <c r="E132" s="389"/>
      <c r="F132" s="394" t="s">
        <v>1859</v>
      </c>
      <c r="G132" s="395" t="s">
        <v>5806</v>
      </c>
      <c r="H132" s="389"/>
      <c r="I132" s="389"/>
      <c r="J132" s="394" t="s">
        <v>1830</v>
      </c>
      <c r="K132" s="395" t="s">
        <v>1831</v>
      </c>
      <c r="L132" s="389"/>
      <c r="M132" s="389"/>
      <c r="N132" s="389"/>
      <c r="O132" s="389"/>
      <c r="P132" s="389"/>
      <c r="Q132" s="389"/>
      <c r="R132" s="408"/>
      <c r="S132" s="408"/>
      <c r="T132" s="389"/>
      <c r="U132" s="389"/>
      <c r="V132" s="394" t="s">
        <v>1823</v>
      </c>
      <c r="W132" s="395" t="s">
        <v>5609</v>
      </c>
      <c r="X132" s="389"/>
      <c r="Y132" s="389"/>
      <c r="Z132" s="389"/>
      <c r="AA132" s="389"/>
      <c r="AB132" s="389"/>
      <c r="AC132" s="389"/>
      <c r="AD132" s="389"/>
      <c r="AE132" s="389"/>
      <c r="AF132" s="389"/>
      <c r="AG132" s="389"/>
      <c r="AH132" s="389"/>
      <c r="AI132" s="389"/>
      <c r="AJ132" s="389"/>
      <c r="AK132" s="389"/>
      <c r="AL132" s="389"/>
      <c r="AM132" s="389"/>
      <c r="AN132" s="389"/>
      <c r="AO132" s="390"/>
    </row>
    <row r="133" spans="1:63" ht="16.5" customHeight="1">
      <c r="A133" s="233">
        <v>104</v>
      </c>
      <c r="B133" s="405"/>
      <c r="C133" s="389"/>
      <c r="D133" s="389"/>
      <c r="E133" s="389"/>
      <c r="F133" s="394" t="s">
        <v>1863</v>
      </c>
      <c r="G133" s="395" t="s">
        <v>5807</v>
      </c>
      <c r="H133" s="389"/>
      <c r="I133" s="389"/>
      <c r="J133" s="394" t="s">
        <v>1836</v>
      </c>
      <c r="K133" s="395" t="s">
        <v>1837</v>
      </c>
      <c r="L133" s="389"/>
      <c r="M133" s="389"/>
      <c r="N133" s="389"/>
      <c r="O133" s="389"/>
      <c r="P133" s="389"/>
      <c r="Q133" s="389"/>
      <c r="R133" s="408"/>
      <c r="S133" s="408"/>
      <c r="T133" s="389"/>
      <c r="U133" s="389"/>
      <c r="V133" s="394" t="s">
        <v>1827</v>
      </c>
      <c r="W133" s="395" t="s">
        <v>1828</v>
      </c>
      <c r="X133" s="389"/>
      <c r="Y133" s="389"/>
      <c r="Z133" s="389"/>
      <c r="AA133" s="389"/>
      <c r="AB133" s="389"/>
      <c r="AC133" s="389"/>
      <c r="AD133" s="389"/>
      <c r="AE133" s="389"/>
      <c r="AF133" s="389"/>
      <c r="AG133" s="389"/>
      <c r="AH133" s="389"/>
      <c r="AI133" s="389"/>
      <c r="AJ133" s="389"/>
      <c r="AK133" s="389"/>
      <c r="AL133" s="389"/>
      <c r="AM133" s="389"/>
      <c r="AN133" s="389"/>
      <c r="AO133" s="390"/>
    </row>
    <row r="134" spans="1:63" ht="16.5" customHeight="1">
      <c r="A134" s="233">
        <v>105</v>
      </c>
      <c r="B134" s="405"/>
      <c r="C134" s="389"/>
      <c r="D134" s="389"/>
      <c r="E134" s="389"/>
      <c r="F134" s="394" t="s">
        <v>1867</v>
      </c>
      <c r="G134" s="395" t="s">
        <v>5808</v>
      </c>
      <c r="H134" s="389"/>
      <c r="I134" s="389"/>
      <c r="J134" s="394" t="s">
        <v>1840</v>
      </c>
      <c r="K134" s="395" t="s">
        <v>1841</v>
      </c>
      <c r="L134" s="389"/>
      <c r="M134" s="389"/>
      <c r="N134" s="389"/>
      <c r="O134" s="389"/>
      <c r="P134" s="389"/>
      <c r="Q134" s="389"/>
      <c r="R134" s="389"/>
      <c r="S134" s="389"/>
      <c r="T134" s="389"/>
      <c r="U134" s="389"/>
      <c r="V134" s="394" t="s">
        <v>1832</v>
      </c>
      <c r="W134" s="395" t="s">
        <v>1833</v>
      </c>
      <c r="X134" s="389"/>
      <c r="Y134" s="389"/>
      <c r="Z134" s="389"/>
      <c r="AA134" s="389"/>
      <c r="AB134" s="389"/>
      <c r="AC134" s="389"/>
      <c r="AD134" s="389"/>
      <c r="AE134" s="389"/>
      <c r="AF134" s="389"/>
      <c r="AG134" s="389"/>
      <c r="AH134" s="389"/>
      <c r="AI134" s="389"/>
      <c r="AJ134" s="389"/>
      <c r="AK134" s="389"/>
      <c r="AL134" s="389"/>
      <c r="AM134" s="389"/>
      <c r="AN134" s="389"/>
      <c r="AO134" s="390"/>
    </row>
    <row r="135" spans="1:63" ht="16.5" customHeight="1">
      <c r="A135" s="233">
        <v>106</v>
      </c>
      <c r="B135" s="405"/>
      <c r="C135" s="389"/>
      <c r="D135" s="389"/>
      <c r="E135" s="389"/>
      <c r="F135" s="394" t="s">
        <v>1871</v>
      </c>
      <c r="G135" s="395" t="s">
        <v>5809</v>
      </c>
      <c r="H135" s="389"/>
      <c r="I135" s="389"/>
      <c r="J135" s="394" t="s">
        <v>1845</v>
      </c>
      <c r="K135" s="395" t="s">
        <v>1846</v>
      </c>
      <c r="L135" s="389"/>
      <c r="M135" s="389"/>
      <c r="N135" s="389"/>
      <c r="O135" s="389"/>
      <c r="P135" s="389"/>
      <c r="Q135" s="389"/>
      <c r="R135" s="389"/>
      <c r="S135" s="389"/>
      <c r="T135" s="389"/>
      <c r="U135" s="389"/>
      <c r="V135" s="400" t="s">
        <v>515</v>
      </c>
      <c r="W135" s="401" t="s">
        <v>1838</v>
      </c>
      <c r="X135" s="389"/>
      <c r="Y135" s="389"/>
      <c r="Z135" s="389"/>
      <c r="AA135" s="389"/>
      <c r="AB135" s="389"/>
      <c r="AC135" s="389"/>
      <c r="AD135" s="389"/>
      <c r="AE135" s="389"/>
      <c r="AF135" s="389"/>
      <c r="AG135" s="389"/>
      <c r="AH135" s="389"/>
      <c r="AI135" s="389"/>
      <c r="AJ135" s="389"/>
      <c r="AK135" s="389"/>
      <c r="AL135" s="389"/>
      <c r="AM135" s="389"/>
      <c r="AN135" s="389"/>
      <c r="AO135" s="390"/>
    </row>
    <row r="136" spans="1:63" ht="16.5" customHeight="1">
      <c r="A136" s="233">
        <v>107</v>
      </c>
      <c r="B136" s="405"/>
      <c r="C136" s="389"/>
      <c r="D136" s="389"/>
      <c r="E136" s="389"/>
      <c r="F136" s="394" t="s">
        <v>1010</v>
      </c>
      <c r="G136" s="395" t="s">
        <v>5810</v>
      </c>
      <c r="H136" s="389"/>
      <c r="I136" s="389"/>
      <c r="J136" s="400" t="s">
        <v>1850</v>
      </c>
      <c r="K136" s="401" t="s">
        <v>1851</v>
      </c>
      <c r="L136" s="389"/>
      <c r="M136" s="389"/>
      <c r="N136" s="389"/>
      <c r="O136" s="389"/>
      <c r="P136" s="389"/>
      <c r="Q136" s="389"/>
      <c r="R136" s="389"/>
      <c r="S136" s="389"/>
      <c r="T136" s="389"/>
      <c r="U136" s="389"/>
      <c r="V136" s="400" t="s">
        <v>1842</v>
      </c>
      <c r="W136" s="401" t="s">
        <v>1843</v>
      </c>
      <c r="X136" s="389"/>
      <c r="Y136" s="389"/>
      <c r="Z136" s="389"/>
      <c r="AA136" s="389"/>
      <c r="AB136" s="389"/>
      <c r="AC136" s="389"/>
      <c r="AD136" s="389"/>
      <c r="AE136" s="389"/>
      <c r="AF136" s="389"/>
      <c r="AG136" s="389"/>
      <c r="AH136" s="389"/>
      <c r="AI136" s="389"/>
      <c r="AJ136" s="389"/>
      <c r="AK136" s="389"/>
      <c r="AL136" s="389"/>
      <c r="AM136" s="389"/>
      <c r="AN136" s="389"/>
      <c r="AO136" s="390"/>
    </row>
    <row r="137" spans="1:63" ht="16.5" customHeight="1">
      <c r="A137" s="233">
        <v>108</v>
      </c>
      <c r="B137" s="405"/>
      <c r="C137" s="389"/>
      <c r="D137" s="389"/>
      <c r="E137" s="389"/>
      <c r="F137" s="394" t="s">
        <v>1875</v>
      </c>
      <c r="G137" s="395" t="s">
        <v>1876</v>
      </c>
      <c r="H137" s="389"/>
      <c r="I137" s="389"/>
      <c r="J137" s="400" t="s">
        <v>1855</v>
      </c>
      <c r="K137" s="401" t="s">
        <v>1856</v>
      </c>
      <c r="L137" s="389"/>
      <c r="M137" s="389"/>
      <c r="N137" s="389"/>
      <c r="O137" s="389"/>
      <c r="P137" s="389"/>
      <c r="Q137" s="389"/>
      <c r="R137" s="389"/>
      <c r="S137" s="389"/>
      <c r="T137" s="389"/>
      <c r="U137" s="389"/>
      <c r="V137" s="400" t="s">
        <v>1847</v>
      </c>
      <c r="W137" s="401" t="s">
        <v>5610</v>
      </c>
      <c r="X137" s="389"/>
      <c r="Y137" s="389"/>
      <c r="Z137" s="389"/>
      <c r="AA137" s="389"/>
      <c r="AB137" s="389"/>
      <c r="AC137" s="389"/>
      <c r="AD137" s="389"/>
      <c r="AE137" s="389"/>
      <c r="AF137" s="389"/>
      <c r="AG137" s="389"/>
      <c r="AH137" s="389"/>
      <c r="AI137" s="389"/>
      <c r="AJ137" s="389"/>
      <c r="AK137" s="389"/>
      <c r="AL137" s="389"/>
      <c r="AM137" s="389"/>
      <c r="AN137" s="389"/>
      <c r="AO137" s="390"/>
    </row>
    <row r="138" spans="1:63" ht="16.5" customHeight="1">
      <c r="A138" s="233">
        <v>109</v>
      </c>
      <c r="B138" s="405"/>
      <c r="C138" s="389"/>
      <c r="D138" s="389"/>
      <c r="E138" s="389"/>
      <c r="F138" s="389"/>
      <c r="G138" s="389"/>
      <c r="H138" s="389"/>
      <c r="I138" s="389"/>
      <c r="J138" s="400" t="s">
        <v>1860</v>
      </c>
      <c r="K138" s="401" t="s">
        <v>1861</v>
      </c>
      <c r="L138" s="389"/>
      <c r="M138" s="389"/>
      <c r="N138" s="389"/>
      <c r="O138" s="389"/>
      <c r="P138" s="389"/>
      <c r="Q138" s="389"/>
      <c r="R138" s="389"/>
      <c r="S138" s="389"/>
      <c r="T138" s="389"/>
      <c r="U138" s="389"/>
      <c r="V138" s="400" t="s">
        <v>1852</v>
      </c>
      <c r="W138" s="401" t="s">
        <v>1853</v>
      </c>
      <c r="X138" s="389"/>
      <c r="Y138" s="389"/>
      <c r="Z138" s="389"/>
      <c r="AA138" s="389"/>
      <c r="AB138" s="389"/>
      <c r="AC138" s="389"/>
      <c r="AD138" s="389"/>
      <c r="AE138" s="389"/>
      <c r="AF138" s="389"/>
      <c r="AG138" s="389"/>
      <c r="AH138" s="389"/>
      <c r="AI138" s="389"/>
      <c r="AJ138" s="389"/>
      <c r="AK138" s="389"/>
      <c r="AL138" s="389"/>
      <c r="AM138" s="389"/>
      <c r="AN138" s="389"/>
      <c r="AO138" s="390"/>
    </row>
    <row r="139" spans="1:63" ht="16.5" customHeight="1">
      <c r="A139" s="233">
        <v>110</v>
      </c>
      <c r="B139" s="405"/>
      <c r="C139" s="389"/>
      <c r="D139" s="389"/>
      <c r="E139" s="389"/>
      <c r="F139" s="389"/>
      <c r="G139" s="389"/>
      <c r="H139" s="389"/>
      <c r="I139" s="389"/>
      <c r="J139" s="400" t="s">
        <v>1864</v>
      </c>
      <c r="K139" s="401" t="s">
        <v>1865</v>
      </c>
      <c r="L139" s="389"/>
      <c r="M139" s="389"/>
      <c r="N139" s="389"/>
      <c r="O139" s="389"/>
      <c r="P139" s="389"/>
      <c r="Q139" s="389"/>
      <c r="R139" s="389"/>
      <c r="S139" s="389"/>
      <c r="T139" s="389"/>
      <c r="U139" s="389"/>
      <c r="V139" s="400" t="s">
        <v>1857</v>
      </c>
      <c r="W139" s="401" t="s">
        <v>1858</v>
      </c>
      <c r="X139" s="389"/>
      <c r="Y139" s="389"/>
      <c r="Z139" s="389"/>
      <c r="AA139" s="389"/>
      <c r="AB139" s="389"/>
      <c r="AC139" s="389"/>
      <c r="AD139" s="389"/>
      <c r="AE139" s="389"/>
      <c r="AF139" s="389"/>
      <c r="AG139" s="389"/>
      <c r="AH139" s="389"/>
      <c r="AI139" s="389"/>
      <c r="AJ139" s="389"/>
      <c r="AK139" s="389"/>
      <c r="AL139" s="389"/>
      <c r="AM139" s="389"/>
      <c r="AN139" s="389"/>
      <c r="AO139" s="390"/>
    </row>
    <row r="140" spans="1:63" ht="16.5" customHeight="1">
      <c r="A140" s="233">
        <v>111</v>
      </c>
      <c r="B140" s="405"/>
      <c r="C140" s="389"/>
      <c r="D140" s="389"/>
      <c r="E140" s="389"/>
      <c r="F140" s="389"/>
      <c r="G140" s="389"/>
      <c r="H140" s="389"/>
      <c r="I140" s="389"/>
      <c r="J140" s="400" t="s">
        <v>1868</v>
      </c>
      <c r="K140" s="401" t="s">
        <v>1869</v>
      </c>
      <c r="L140" s="389"/>
      <c r="M140" s="389"/>
      <c r="N140" s="389"/>
      <c r="O140" s="389"/>
      <c r="P140" s="389"/>
      <c r="Q140" s="389"/>
      <c r="R140" s="389"/>
      <c r="S140" s="389"/>
      <c r="T140" s="389"/>
      <c r="U140" s="389"/>
      <c r="V140" s="400" t="s">
        <v>1862</v>
      </c>
      <c r="W140" s="401" t="s">
        <v>5611</v>
      </c>
      <c r="X140" s="389"/>
      <c r="Y140" s="389"/>
      <c r="Z140" s="389"/>
      <c r="AA140" s="389"/>
      <c r="AB140" s="389"/>
      <c r="AC140" s="389"/>
      <c r="AD140" s="389"/>
      <c r="AE140" s="389"/>
      <c r="AF140" s="389"/>
      <c r="AG140" s="389"/>
      <c r="AH140" s="389"/>
      <c r="AI140" s="389"/>
      <c r="AJ140" s="389"/>
      <c r="AK140" s="389"/>
      <c r="AL140" s="389"/>
      <c r="AM140" s="389"/>
      <c r="AN140" s="389"/>
      <c r="AO140" s="390"/>
    </row>
    <row r="141" spans="1:63" ht="16.5" customHeight="1">
      <c r="A141" s="233">
        <v>112</v>
      </c>
      <c r="B141" s="405"/>
      <c r="C141" s="389"/>
      <c r="D141" s="389"/>
      <c r="E141" s="389"/>
      <c r="F141" s="389"/>
      <c r="G141" s="389"/>
      <c r="H141" s="389"/>
      <c r="I141" s="389"/>
      <c r="J141" s="389"/>
      <c r="K141" s="389"/>
      <c r="L141" s="389"/>
      <c r="M141" s="389"/>
      <c r="N141" s="389"/>
      <c r="O141" s="389"/>
      <c r="P141" s="389"/>
      <c r="Q141" s="389"/>
      <c r="R141" s="389"/>
      <c r="S141" s="389"/>
      <c r="T141" s="389"/>
      <c r="U141" s="389"/>
      <c r="V141" s="394" t="s">
        <v>516</v>
      </c>
      <c r="W141" s="395" t="s">
        <v>1866</v>
      </c>
      <c r="X141" s="389"/>
      <c r="Y141" s="389"/>
      <c r="Z141" s="389"/>
      <c r="AA141" s="389"/>
      <c r="AB141" s="389"/>
      <c r="AC141" s="389"/>
      <c r="AD141" s="389"/>
      <c r="AE141" s="389"/>
      <c r="AF141" s="389"/>
      <c r="AG141" s="389"/>
      <c r="AH141" s="389"/>
      <c r="AI141" s="389"/>
      <c r="AJ141" s="389"/>
      <c r="AK141" s="389"/>
      <c r="AL141" s="389"/>
      <c r="AM141" s="389"/>
      <c r="AN141" s="389"/>
      <c r="AO141" s="390"/>
    </row>
    <row r="142" spans="1:63" ht="16.5" customHeight="1">
      <c r="A142" s="233">
        <v>113</v>
      </c>
      <c r="B142" s="405"/>
      <c r="C142" s="389"/>
      <c r="D142" s="389"/>
      <c r="E142" s="389"/>
      <c r="F142" s="389"/>
      <c r="G142" s="389"/>
      <c r="H142" s="389"/>
      <c r="I142" s="389"/>
      <c r="J142" s="389"/>
      <c r="K142" s="389"/>
      <c r="L142" s="389"/>
      <c r="M142" s="389"/>
      <c r="N142" s="389"/>
      <c r="O142" s="389"/>
      <c r="P142" s="389"/>
      <c r="Q142" s="389"/>
      <c r="R142" s="389"/>
      <c r="S142" s="389"/>
      <c r="T142" s="389"/>
      <c r="U142" s="389"/>
      <c r="V142" s="394" t="s">
        <v>1870</v>
      </c>
      <c r="W142" s="395" t="s">
        <v>5612</v>
      </c>
      <c r="X142" s="389"/>
      <c r="Y142" s="389"/>
      <c r="Z142" s="389"/>
      <c r="AA142" s="389"/>
      <c r="AB142" s="389"/>
      <c r="AC142" s="389"/>
      <c r="AD142" s="389"/>
      <c r="AE142" s="389"/>
      <c r="AF142" s="389"/>
      <c r="AG142" s="389"/>
      <c r="AH142" s="389"/>
      <c r="AI142" s="389"/>
      <c r="AJ142" s="389"/>
      <c r="AK142" s="389"/>
      <c r="AL142" s="389"/>
      <c r="AM142" s="389"/>
      <c r="AN142" s="389"/>
      <c r="AO142" s="390"/>
    </row>
    <row r="143" spans="1:63" ht="16.5" customHeight="1">
      <c r="A143" s="233">
        <v>114</v>
      </c>
      <c r="B143" s="405"/>
      <c r="C143" s="389"/>
      <c r="D143" s="389"/>
      <c r="E143" s="389"/>
      <c r="F143" s="389"/>
      <c r="G143" s="389"/>
      <c r="H143" s="389"/>
      <c r="I143" s="389"/>
      <c r="J143" s="389"/>
      <c r="K143" s="389"/>
      <c r="L143" s="389"/>
      <c r="M143" s="389"/>
      <c r="N143" s="389"/>
      <c r="O143" s="389"/>
      <c r="P143" s="389"/>
      <c r="Q143" s="389"/>
      <c r="R143" s="389"/>
      <c r="S143" s="389"/>
      <c r="T143" s="389"/>
      <c r="U143" s="389"/>
      <c r="V143" s="394" t="s">
        <v>1872</v>
      </c>
      <c r="W143" s="395" t="s">
        <v>5613</v>
      </c>
      <c r="X143" s="389"/>
      <c r="Y143" s="389"/>
      <c r="Z143" s="389"/>
      <c r="AA143" s="389"/>
      <c r="AB143" s="389"/>
      <c r="AC143" s="389"/>
      <c r="AD143" s="389"/>
      <c r="AE143" s="389"/>
      <c r="AF143" s="389"/>
      <c r="AG143" s="389"/>
      <c r="AH143" s="389"/>
      <c r="AI143" s="389"/>
      <c r="AJ143" s="389"/>
      <c r="AK143" s="389"/>
      <c r="AL143" s="389"/>
      <c r="AM143" s="389"/>
      <c r="AN143" s="389"/>
      <c r="AO143" s="390"/>
    </row>
    <row r="144" spans="1:63" ht="16.5" customHeight="1">
      <c r="A144" s="233">
        <v>115</v>
      </c>
      <c r="B144" s="405"/>
      <c r="C144" s="389"/>
      <c r="D144" s="389"/>
      <c r="E144" s="389"/>
      <c r="F144" s="389"/>
      <c r="G144" s="389"/>
      <c r="H144" s="389"/>
      <c r="I144" s="389"/>
      <c r="J144" s="389"/>
      <c r="K144" s="389"/>
      <c r="L144" s="389"/>
      <c r="M144" s="389"/>
      <c r="N144" s="389"/>
      <c r="O144" s="389"/>
      <c r="P144" s="389"/>
      <c r="Q144" s="389"/>
      <c r="R144" s="389"/>
      <c r="S144" s="389"/>
      <c r="T144" s="389"/>
      <c r="U144" s="389"/>
      <c r="V144" s="394" t="s">
        <v>1873</v>
      </c>
      <c r="W144" s="395" t="s">
        <v>1874</v>
      </c>
      <c r="X144" s="389"/>
      <c r="Y144" s="389"/>
      <c r="Z144" s="389"/>
      <c r="AA144" s="389"/>
      <c r="AB144" s="389"/>
      <c r="AC144" s="389"/>
      <c r="AD144" s="389"/>
      <c r="AE144" s="389"/>
      <c r="AF144" s="389"/>
      <c r="AG144" s="389"/>
      <c r="AH144" s="389"/>
      <c r="AI144" s="389"/>
      <c r="AJ144" s="389"/>
      <c r="AK144" s="389"/>
      <c r="AL144" s="389"/>
      <c r="AM144" s="389"/>
      <c r="AN144" s="389"/>
      <c r="AO144" s="390"/>
    </row>
    <row r="145" spans="1:41" ht="16.5" customHeight="1">
      <c r="A145" s="233">
        <v>116</v>
      </c>
      <c r="B145" s="405"/>
      <c r="C145" s="389"/>
      <c r="D145" s="389"/>
      <c r="E145" s="389"/>
      <c r="F145" s="389"/>
      <c r="G145" s="389"/>
      <c r="H145" s="389"/>
      <c r="I145" s="389"/>
      <c r="J145" s="389"/>
      <c r="K145" s="389"/>
      <c r="L145" s="389"/>
      <c r="M145" s="389"/>
      <c r="N145" s="389"/>
      <c r="O145" s="389"/>
      <c r="P145" s="389"/>
      <c r="Q145" s="389"/>
      <c r="R145" s="389"/>
      <c r="S145" s="389"/>
      <c r="T145" s="389"/>
      <c r="U145" s="389"/>
      <c r="V145" s="394" t="s">
        <v>1877</v>
      </c>
      <c r="W145" s="395" t="s">
        <v>5614</v>
      </c>
      <c r="X145" s="389"/>
      <c r="Y145" s="389"/>
      <c r="Z145" s="389"/>
      <c r="AA145" s="389"/>
      <c r="AB145" s="389"/>
      <c r="AC145" s="389"/>
      <c r="AD145" s="389"/>
      <c r="AE145" s="389"/>
      <c r="AF145" s="389"/>
      <c r="AG145" s="389"/>
      <c r="AH145" s="389"/>
      <c r="AI145" s="389"/>
      <c r="AJ145" s="389"/>
      <c r="AK145" s="389"/>
      <c r="AL145" s="389"/>
      <c r="AM145" s="389"/>
      <c r="AN145" s="389"/>
      <c r="AO145" s="390"/>
    </row>
    <row r="146" spans="1:41" ht="16.5" customHeight="1">
      <c r="A146" s="233">
        <v>117</v>
      </c>
      <c r="B146" s="405"/>
      <c r="C146" s="389"/>
      <c r="D146" s="389"/>
      <c r="E146" s="389"/>
      <c r="F146" s="389"/>
      <c r="G146" s="389"/>
      <c r="H146" s="389"/>
      <c r="I146" s="389"/>
      <c r="J146" s="389"/>
      <c r="K146" s="389"/>
      <c r="L146" s="389"/>
      <c r="M146" s="389"/>
      <c r="N146" s="389"/>
      <c r="O146" s="389"/>
      <c r="P146" s="389"/>
      <c r="Q146" s="389"/>
      <c r="R146" s="389"/>
      <c r="S146" s="389"/>
      <c r="T146" s="389"/>
      <c r="U146" s="389"/>
      <c r="V146" s="394" t="s">
        <v>1878</v>
      </c>
      <c r="W146" s="395" t="s">
        <v>1879</v>
      </c>
      <c r="X146" s="389"/>
      <c r="Y146" s="389"/>
      <c r="Z146" s="389"/>
      <c r="AA146" s="389"/>
      <c r="AB146" s="389"/>
      <c r="AC146" s="389"/>
      <c r="AD146" s="389"/>
      <c r="AE146" s="389"/>
      <c r="AF146" s="389"/>
      <c r="AG146" s="389"/>
      <c r="AH146" s="389"/>
      <c r="AI146" s="389"/>
      <c r="AJ146" s="389"/>
      <c r="AK146" s="389"/>
      <c r="AL146" s="389"/>
      <c r="AM146" s="389"/>
      <c r="AN146" s="389"/>
      <c r="AO146" s="390"/>
    </row>
    <row r="147" spans="1:41" ht="16.5" customHeight="1">
      <c r="A147" s="233">
        <v>118</v>
      </c>
      <c r="B147" s="405"/>
      <c r="C147" s="389"/>
      <c r="D147" s="389"/>
      <c r="E147" s="389"/>
      <c r="F147" s="389"/>
      <c r="G147" s="389"/>
      <c r="H147" s="389"/>
      <c r="I147" s="389"/>
      <c r="J147" s="389"/>
      <c r="K147" s="389"/>
      <c r="L147" s="389"/>
      <c r="M147" s="389"/>
      <c r="N147" s="389"/>
      <c r="O147" s="389"/>
      <c r="P147" s="389"/>
      <c r="Q147" s="389"/>
      <c r="R147" s="389"/>
      <c r="S147" s="389"/>
      <c r="T147" s="389"/>
      <c r="U147" s="389"/>
      <c r="V147" s="394" t="s">
        <v>1880</v>
      </c>
      <c r="W147" s="395" t="s">
        <v>1881</v>
      </c>
      <c r="X147" s="389"/>
      <c r="Y147" s="389"/>
      <c r="Z147" s="389"/>
      <c r="AA147" s="389"/>
      <c r="AB147" s="389"/>
      <c r="AC147" s="389"/>
      <c r="AD147" s="389"/>
      <c r="AE147" s="389"/>
      <c r="AF147" s="389"/>
      <c r="AG147" s="389"/>
      <c r="AH147" s="389"/>
      <c r="AI147" s="389"/>
      <c r="AJ147" s="389"/>
      <c r="AK147" s="389"/>
      <c r="AL147" s="389"/>
      <c r="AM147" s="389"/>
      <c r="AN147" s="389"/>
      <c r="AO147" s="390"/>
    </row>
    <row r="148" spans="1:41" ht="16.5" customHeight="1">
      <c r="A148" s="233">
        <v>119</v>
      </c>
      <c r="B148" s="405"/>
      <c r="C148" s="389"/>
      <c r="D148" s="389"/>
      <c r="E148" s="389"/>
      <c r="F148" s="389"/>
      <c r="G148" s="389"/>
      <c r="H148" s="389"/>
      <c r="I148" s="389"/>
      <c r="J148" s="389"/>
      <c r="K148" s="389"/>
      <c r="L148" s="389"/>
      <c r="M148" s="389"/>
      <c r="N148" s="389"/>
      <c r="O148" s="389"/>
      <c r="P148" s="389"/>
      <c r="Q148" s="389"/>
      <c r="R148" s="389"/>
      <c r="S148" s="389"/>
      <c r="T148" s="389"/>
      <c r="U148" s="389"/>
      <c r="V148" s="394" t="s">
        <v>1882</v>
      </c>
      <c r="W148" s="395" t="s">
        <v>1883</v>
      </c>
      <c r="X148" s="389"/>
      <c r="Y148" s="389"/>
      <c r="Z148" s="389"/>
      <c r="AA148" s="389"/>
      <c r="AB148" s="389"/>
      <c r="AC148" s="389"/>
      <c r="AD148" s="389"/>
      <c r="AE148" s="389"/>
      <c r="AF148" s="389"/>
      <c r="AG148" s="389"/>
      <c r="AH148" s="389"/>
      <c r="AI148" s="389"/>
      <c r="AJ148" s="389"/>
      <c r="AK148" s="389"/>
      <c r="AL148" s="389"/>
      <c r="AM148" s="389"/>
      <c r="AN148" s="389"/>
      <c r="AO148" s="390"/>
    </row>
    <row r="149" spans="1:41" ht="16.5" customHeight="1">
      <c r="A149" s="233">
        <v>120</v>
      </c>
      <c r="B149" s="405"/>
      <c r="C149" s="389"/>
      <c r="D149" s="389"/>
      <c r="E149" s="389"/>
      <c r="F149" s="389"/>
      <c r="G149" s="389"/>
      <c r="H149" s="389"/>
      <c r="I149" s="389"/>
      <c r="J149" s="389"/>
      <c r="K149" s="389"/>
      <c r="L149" s="389"/>
      <c r="M149" s="389"/>
      <c r="N149" s="389"/>
      <c r="O149" s="389"/>
      <c r="P149" s="389"/>
      <c r="Q149" s="389"/>
      <c r="R149" s="389"/>
      <c r="S149" s="389"/>
      <c r="T149" s="389"/>
      <c r="U149" s="389"/>
      <c r="V149" s="400" t="s">
        <v>1884</v>
      </c>
      <c r="W149" s="401" t="s">
        <v>5615</v>
      </c>
      <c r="X149" s="389"/>
      <c r="Y149" s="389"/>
      <c r="Z149" s="389"/>
      <c r="AA149" s="389"/>
      <c r="AB149" s="389"/>
      <c r="AC149" s="389"/>
      <c r="AD149" s="389"/>
      <c r="AE149" s="389"/>
      <c r="AF149" s="389"/>
      <c r="AG149" s="389"/>
      <c r="AH149" s="389"/>
      <c r="AI149" s="389"/>
      <c r="AJ149" s="389"/>
      <c r="AK149" s="389"/>
      <c r="AL149" s="389"/>
      <c r="AM149" s="389"/>
      <c r="AN149" s="389"/>
      <c r="AO149" s="390"/>
    </row>
    <row r="150" spans="1:41" ht="16.5" customHeight="1">
      <c r="A150" s="233">
        <v>121</v>
      </c>
      <c r="B150" s="405"/>
      <c r="C150" s="389"/>
      <c r="D150" s="389"/>
      <c r="E150" s="389"/>
      <c r="F150" s="389"/>
      <c r="G150" s="389"/>
      <c r="H150" s="389"/>
      <c r="I150" s="389"/>
      <c r="J150" s="389"/>
      <c r="K150" s="389"/>
      <c r="L150" s="389"/>
      <c r="M150" s="389"/>
      <c r="N150" s="389"/>
      <c r="O150" s="389"/>
      <c r="P150" s="389"/>
      <c r="Q150" s="389"/>
      <c r="R150" s="389"/>
      <c r="S150" s="389"/>
      <c r="T150" s="389"/>
      <c r="U150" s="389"/>
      <c r="V150" s="400" t="s">
        <v>1885</v>
      </c>
      <c r="W150" s="401" t="s">
        <v>5616</v>
      </c>
      <c r="X150" s="389"/>
      <c r="Y150" s="389"/>
      <c r="Z150" s="389"/>
      <c r="AA150" s="389"/>
      <c r="AB150" s="389"/>
      <c r="AC150" s="389"/>
      <c r="AD150" s="389"/>
      <c r="AE150" s="389"/>
      <c r="AF150" s="389"/>
      <c r="AG150" s="389"/>
      <c r="AH150" s="389"/>
      <c r="AI150" s="389"/>
      <c r="AJ150" s="389"/>
      <c r="AK150" s="389"/>
      <c r="AL150" s="389"/>
      <c r="AM150" s="389"/>
      <c r="AN150" s="389"/>
      <c r="AO150" s="390"/>
    </row>
    <row r="151" spans="1:41" ht="16.5" customHeight="1">
      <c r="A151" s="233">
        <v>122</v>
      </c>
      <c r="B151" s="405"/>
      <c r="C151" s="389"/>
      <c r="D151" s="389"/>
      <c r="E151" s="389"/>
      <c r="F151" s="389"/>
      <c r="G151" s="389"/>
      <c r="H151" s="389"/>
      <c r="I151" s="389"/>
      <c r="J151" s="389"/>
      <c r="K151" s="389"/>
      <c r="L151" s="389"/>
      <c r="M151" s="389"/>
      <c r="N151" s="389"/>
      <c r="O151" s="389"/>
      <c r="P151" s="389"/>
      <c r="Q151" s="389"/>
      <c r="R151" s="389"/>
      <c r="S151" s="389"/>
      <c r="T151" s="389"/>
      <c r="U151" s="389"/>
      <c r="V151" s="400" t="s">
        <v>1886</v>
      </c>
      <c r="W151" s="401" t="s">
        <v>5617</v>
      </c>
      <c r="X151" s="389"/>
      <c r="Y151" s="389"/>
      <c r="Z151" s="389"/>
      <c r="AA151" s="389"/>
      <c r="AB151" s="389"/>
      <c r="AC151" s="389"/>
      <c r="AD151" s="389"/>
      <c r="AE151" s="389"/>
      <c r="AF151" s="389"/>
      <c r="AG151" s="389"/>
      <c r="AH151" s="389"/>
      <c r="AI151" s="389"/>
      <c r="AJ151" s="389"/>
      <c r="AK151" s="389"/>
      <c r="AL151" s="389"/>
      <c r="AM151" s="389"/>
      <c r="AN151" s="389"/>
      <c r="AO151" s="390"/>
    </row>
    <row r="152" spans="1:41" ht="16.5" customHeight="1">
      <c r="A152" s="233">
        <v>123</v>
      </c>
      <c r="B152" s="405"/>
      <c r="C152" s="389"/>
      <c r="D152" s="389"/>
      <c r="E152" s="389"/>
      <c r="F152" s="389"/>
      <c r="G152" s="389"/>
      <c r="H152" s="389"/>
      <c r="I152" s="389"/>
      <c r="J152" s="389"/>
      <c r="K152" s="389"/>
      <c r="L152" s="389"/>
      <c r="M152" s="389"/>
      <c r="N152" s="389"/>
      <c r="O152" s="389"/>
      <c r="P152" s="389"/>
      <c r="Q152" s="389"/>
      <c r="R152" s="389"/>
      <c r="S152" s="389"/>
      <c r="T152" s="389"/>
      <c r="U152" s="389"/>
      <c r="V152" s="400" t="s">
        <v>1887</v>
      </c>
      <c r="W152" s="401" t="s">
        <v>1888</v>
      </c>
      <c r="X152" s="389"/>
      <c r="Y152" s="389"/>
      <c r="Z152" s="389"/>
      <c r="AA152" s="389"/>
      <c r="AB152" s="389"/>
      <c r="AC152" s="389"/>
      <c r="AD152" s="389"/>
      <c r="AE152" s="389"/>
      <c r="AF152" s="389"/>
      <c r="AG152" s="389"/>
      <c r="AH152" s="389"/>
      <c r="AI152" s="389"/>
      <c r="AJ152" s="389"/>
      <c r="AK152" s="389"/>
      <c r="AL152" s="389"/>
      <c r="AM152" s="389"/>
      <c r="AN152" s="389"/>
      <c r="AO152" s="390"/>
    </row>
    <row r="153" spans="1:41" ht="16.5" customHeight="1">
      <c r="A153" s="233">
        <v>124</v>
      </c>
      <c r="B153" s="405"/>
      <c r="C153" s="389"/>
      <c r="D153" s="389"/>
      <c r="E153" s="389"/>
      <c r="F153" s="389"/>
      <c r="G153" s="389"/>
      <c r="H153" s="389"/>
      <c r="I153" s="389"/>
      <c r="J153" s="389"/>
      <c r="K153" s="389"/>
      <c r="L153" s="389"/>
      <c r="M153" s="389"/>
      <c r="N153" s="389"/>
      <c r="O153" s="389"/>
      <c r="P153" s="389"/>
      <c r="Q153" s="389"/>
      <c r="R153" s="389"/>
      <c r="S153" s="389"/>
      <c r="T153" s="389"/>
      <c r="U153" s="389"/>
      <c r="V153" s="400" t="s">
        <v>1889</v>
      </c>
      <c r="W153" s="401" t="s">
        <v>1890</v>
      </c>
      <c r="X153" s="389"/>
      <c r="Y153" s="389"/>
      <c r="Z153" s="389"/>
      <c r="AA153" s="389"/>
      <c r="AB153" s="389"/>
      <c r="AC153" s="389"/>
      <c r="AD153" s="389"/>
      <c r="AE153" s="389"/>
      <c r="AF153" s="389"/>
      <c r="AG153" s="389"/>
      <c r="AH153" s="389"/>
      <c r="AI153" s="389"/>
      <c r="AJ153" s="389"/>
      <c r="AK153" s="389"/>
      <c r="AL153" s="389"/>
      <c r="AM153" s="389"/>
      <c r="AN153" s="389"/>
      <c r="AO153" s="390"/>
    </row>
    <row r="154" spans="1:41" ht="16.5" customHeight="1">
      <c r="A154" s="233">
        <v>125</v>
      </c>
      <c r="B154" s="405"/>
      <c r="C154" s="389"/>
      <c r="D154" s="389"/>
      <c r="E154" s="389"/>
      <c r="F154" s="389"/>
      <c r="G154" s="389"/>
      <c r="H154" s="389"/>
      <c r="I154" s="389"/>
      <c r="J154" s="389"/>
      <c r="K154" s="389"/>
      <c r="L154" s="389"/>
      <c r="M154" s="389"/>
      <c r="N154" s="389"/>
      <c r="O154" s="389"/>
      <c r="P154" s="389"/>
      <c r="Q154" s="389"/>
      <c r="R154" s="389"/>
      <c r="S154" s="389"/>
      <c r="T154" s="389"/>
      <c r="U154" s="389"/>
      <c r="V154" s="400" t="s">
        <v>1891</v>
      </c>
      <c r="W154" s="401" t="s">
        <v>5618</v>
      </c>
      <c r="X154" s="389"/>
      <c r="Y154" s="389"/>
      <c r="Z154" s="389"/>
      <c r="AA154" s="389"/>
      <c r="AB154" s="389"/>
      <c r="AC154" s="389"/>
      <c r="AD154" s="389"/>
      <c r="AE154" s="389"/>
      <c r="AF154" s="389"/>
      <c r="AG154" s="389"/>
      <c r="AH154" s="389"/>
      <c r="AI154" s="389"/>
      <c r="AJ154" s="389"/>
      <c r="AK154" s="389"/>
      <c r="AL154" s="389"/>
      <c r="AM154" s="389"/>
      <c r="AN154" s="389"/>
      <c r="AO154" s="390"/>
    </row>
    <row r="155" spans="1:41" ht="16.5" customHeight="1">
      <c r="A155" s="233">
        <v>126</v>
      </c>
      <c r="B155" s="405"/>
      <c r="C155" s="389"/>
      <c r="D155" s="389"/>
      <c r="E155" s="389"/>
      <c r="F155" s="389"/>
      <c r="G155" s="389"/>
      <c r="H155" s="389"/>
      <c r="I155" s="389"/>
      <c r="J155" s="389"/>
      <c r="K155" s="389"/>
      <c r="L155" s="389"/>
      <c r="M155" s="389"/>
      <c r="N155" s="389"/>
      <c r="O155" s="389"/>
      <c r="P155" s="389"/>
      <c r="Q155" s="389"/>
      <c r="R155" s="389"/>
      <c r="S155" s="389"/>
      <c r="T155" s="389"/>
      <c r="U155" s="389"/>
      <c r="V155" s="400" t="s">
        <v>1892</v>
      </c>
      <c r="W155" s="401" t="s">
        <v>5619</v>
      </c>
      <c r="X155" s="389"/>
      <c r="Y155" s="389"/>
      <c r="Z155" s="389"/>
      <c r="AA155" s="389"/>
      <c r="AB155" s="389"/>
      <c r="AC155" s="389"/>
      <c r="AD155" s="389"/>
      <c r="AE155" s="389"/>
      <c r="AF155" s="389"/>
      <c r="AG155" s="389"/>
      <c r="AH155" s="389"/>
      <c r="AI155" s="389"/>
      <c r="AJ155" s="389"/>
      <c r="AK155" s="389"/>
      <c r="AL155" s="389"/>
      <c r="AM155" s="389"/>
      <c r="AN155" s="389"/>
      <c r="AO155" s="390"/>
    </row>
    <row r="156" spans="1:41" ht="16.5" customHeight="1">
      <c r="A156" s="233">
        <v>127</v>
      </c>
      <c r="B156" s="405"/>
      <c r="C156" s="389"/>
      <c r="D156" s="389"/>
      <c r="E156" s="389"/>
      <c r="F156" s="389"/>
      <c r="G156" s="389"/>
      <c r="H156" s="389"/>
      <c r="I156" s="389"/>
      <c r="J156" s="389"/>
      <c r="K156" s="389"/>
      <c r="L156" s="389"/>
      <c r="M156" s="389"/>
      <c r="N156" s="389"/>
      <c r="O156" s="389"/>
      <c r="P156" s="389"/>
      <c r="Q156" s="389"/>
      <c r="R156" s="389"/>
      <c r="S156" s="389"/>
      <c r="T156" s="389"/>
      <c r="U156" s="389"/>
      <c r="V156" s="400" t="s">
        <v>1893</v>
      </c>
      <c r="W156" s="401" t="s">
        <v>1894</v>
      </c>
      <c r="X156" s="389"/>
      <c r="Y156" s="389"/>
      <c r="Z156" s="389"/>
      <c r="AA156" s="389"/>
      <c r="AB156" s="389"/>
      <c r="AC156" s="389"/>
      <c r="AD156" s="389"/>
      <c r="AE156" s="389"/>
      <c r="AF156" s="389"/>
      <c r="AG156" s="389"/>
      <c r="AH156" s="389"/>
      <c r="AI156" s="389"/>
      <c r="AJ156" s="389"/>
      <c r="AK156" s="389"/>
      <c r="AL156" s="389"/>
      <c r="AM156" s="389"/>
      <c r="AN156" s="389"/>
      <c r="AO156" s="390"/>
    </row>
    <row r="157" spans="1:41" ht="16.5" customHeight="1">
      <c r="A157" s="233">
        <v>128</v>
      </c>
      <c r="B157" s="405"/>
      <c r="C157" s="389"/>
      <c r="D157" s="389"/>
      <c r="E157" s="389"/>
      <c r="F157" s="389"/>
      <c r="G157" s="389"/>
      <c r="H157" s="389"/>
      <c r="I157" s="389"/>
      <c r="J157" s="389"/>
      <c r="K157" s="389"/>
      <c r="L157" s="389"/>
      <c r="M157" s="389"/>
      <c r="N157" s="389"/>
      <c r="O157" s="389"/>
      <c r="P157" s="389"/>
      <c r="Q157" s="389"/>
      <c r="R157" s="389"/>
      <c r="S157" s="389"/>
      <c r="T157" s="389"/>
      <c r="U157" s="389"/>
      <c r="V157" s="394" t="s">
        <v>4657</v>
      </c>
      <c r="W157" s="395" t="s">
        <v>4658</v>
      </c>
      <c r="X157" s="389"/>
      <c r="Y157" s="389"/>
      <c r="Z157" s="389"/>
      <c r="AA157" s="389"/>
      <c r="AB157" s="389"/>
      <c r="AC157" s="389"/>
      <c r="AD157" s="389"/>
      <c r="AE157" s="389"/>
      <c r="AF157" s="389"/>
      <c r="AG157" s="389"/>
      <c r="AH157" s="389"/>
      <c r="AI157" s="389"/>
      <c r="AJ157" s="389"/>
      <c r="AK157" s="389"/>
      <c r="AL157" s="389"/>
      <c r="AM157" s="389"/>
      <c r="AN157" s="389"/>
      <c r="AO157" s="390"/>
    </row>
    <row r="158" spans="1:41" ht="16.5" customHeight="1">
      <c r="A158" s="233">
        <v>129</v>
      </c>
      <c r="B158" s="405"/>
      <c r="C158" s="389"/>
      <c r="D158" s="389"/>
      <c r="E158" s="389"/>
      <c r="F158" s="389"/>
      <c r="G158" s="389"/>
      <c r="H158" s="389"/>
      <c r="I158" s="389"/>
      <c r="J158" s="389"/>
      <c r="K158" s="389"/>
      <c r="L158" s="389"/>
      <c r="M158" s="389"/>
      <c r="N158" s="389"/>
      <c r="O158" s="389"/>
      <c r="P158" s="389"/>
      <c r="Q158" s="389"/>
      <c r="R158" s="389"/>
      <c r="S158" s="389"/>
      <c r="T158" s="389"/>
      <c r="U158" s="389"/>
      <c r="V158" s="394" t="s">
        <v>4659</v>
      </c>
      <c r="W158" s="395" t="s">
        <v>4660</v>
      </c>
      <c r="X158" s="389"/>
      <c r="Y158" s="389"/>
      <c r="Z158" s="389"/>
      <c r="AA158" s="389"/>
      <c r="AB158" s="389"/>
      <c r="AC158" s="389"/>
      <c r="AD158" s="389"/>
      <c r="AE158" s="389"/>
      <c r="AF158" s="389"/>
      <c r="AG158" s="389"/>
      <c r="AH158" s="389"/>
      <c r="AI158" s="389"/>
      <c r="AJ158" s="389"/>
      <c r="AK158" s="389"/>
      <c r="AL158" s="389"/>
      <c r="AM158" s="389"/>
      <c r="AN158" s="389"/>
      <c r="AO158" s="390"/>
    </row>
    <row r="159" spans="1:41" ht="16.5" customHeight="1">
      <c r="A159" s="233">
        <v>130</v>
      </c>
      <c r="B159" s="405"/>
      <c r="C159" s="389"/>
      <c r="D159" s="389"/>
      <c r="E159" s="389"/>
      <c r="F159" s="389"/>
      <c r="G159" s="389"/>
      <c r="H159" s="389"/>
      <c r="I159" s="389"/>
      <c r="J159" s="389"/>
      <c r="K159" s="389"/>
      <c r="L159" s="389"/>
      <c r="M159" s="389"/>
      <c r="N159" s="389"/>
      <c r="O159" s="389"/>
      <c r="P159" s="389"/>
      <c r="Q159" s="389"/>
      <c r="R159" s="389"/>
      <c r="S159" s="389"/>
      <c r="T159" s="389"/>
      <c r="U159" s="389"/>
      <c r="V159" s="394" t="s">
        <v>4661</v>
      </c>
      <c r="W159" s="395" t="s">
        <v>4662</v>
      </c>
      <c r="X159" s="389"/>
      <c r="Y159" s="389"/>
      <c r="Z159" s="389"/>
      <c r="AA159" s="389"/>
      <c r="AB159" s="389"/>
      <c r="AC159" s="389"/>
      <c r="AD159" s="389"/>
      <c r="AE159" s="389"/>
      <c r="AF159" s="389"/>
      <c r="AG159" s="389"/>
      <c r="AH159" s="389"/>
      <c r="AI159" s="389"/>
      <c r="AJ159" s="389"/>
      <c r="AK159" s="389"/>
      <c r="AL159" s="389"/>
      <c r="AM159" s="389"/>
      <c r="AN159" s="389"/>
      <c r="AO159" s="390"/>
    </row>
    <row r="160" spans="1:41" ht="16.5" customHeight="1">
      <c r="A160" s="233">
        <v>131</v>
      </c>
      <c r="B160" s="405"/>
      <c r="C160" s="389"/>
      <c r="D160" s="389"/>
      <c r="E160" s="389"/>
      <c r="F160" s="389"/>
      <c r="G160" s="389"/>
      <c r="H160" s="389"/>
      <c r="I160" s="389"/>
      <c r="J160" s="389"/>
      <c r="K160" s="389"/>
      <c r="L160" s="389"/>
      <c r="M160" s="389"/>
      <c r="N160" s="389"/>
      <c r="O160" s="389"/>
      <c r="P160" s="389"/>
      <c r="Q160" s="389"/>
      <c r="R160" s="389"/>
      <c r="S160" s="389"/>
      <c r="T160" s="389"/>
      <c r="U160" s="389"/>
      <c r="V160" s="394" t="s">
        <v>4663</v>
      </c>
      <c r="W160" s="395" t="s">
        <v>4664</v>
      </c>
      <c r="X160" s="389"/>
      <c r="Y160" s="389"/>
      <c r="Z160" s="389"/>
      <c r="AA160" s="389"/>
      <c r="AB160" s="389"/>
      <c r="AC160" s="389"/>
      <c r="AD160" s="389"/>
      <c r="AE160" s="389"/>
      <c r="AF160" s="389"/>
      <c r="AG160" s="389"/>
      <c r="AH160" s="389"/>
      <c r="AI160" s="389"/>
      <c r="AJ160" s="389"/>
      <c r="AK160" s="389"/>
      <c r="AL160" s="389"/>
      <c r="AM160" s="389"/>
      <c r="AN160" s="389"/>
      <c r="AO160" s="390"/>
    </row>
    <row r="161" spans="1:41" ht="16.5" customHeight="1">
      <c r="A161" s="233">
        <v>132</v>
      </c>
      <c r="B161" s="405"/>
      <c r="C161" s="389"/>
      <c r="D161" s="389"/>
      <c r="E161" s="389"/>
      <c r="F161" s="389"/>
      <c r="G161" s="389"/>
      <c r="H161" s="389"/>
      <c r="I161" s="389"/>
      <c r="J161" s="389"/>
      <c r="K161" s="389"/>
      <c r="L161" s="389"/>
      <c r="M161" s="389"/>
      <c r="N161" s="389"/>
      <c r="O161" s="389"/>
      <c r="P161" s="389"/>
      <c r="Q161" s="389"/>
      <c r="R161" s="389"/>
      <c r="S161" s="389"/>
      <c r="T161" s="389"/>
      <c r="U161" s="389"/>
      <c r="V161" s="394" t="s">
        <v>4665</v>
      </c>
      <c r="W161" s="395" t="s">
        <v>4666</v>
      </c>
      <c r="X161" s="389"/>
      <c r="Y161" s="389"/>
      <c r="Z161" s="389"/>
      <c r="AA161" s="389"/>
      <c r="AB161" s="389"/>
      <c r="AC161" s="389"/>
      <c r="AD161" s="389"/>
      <c r="AE161" s="389"/>
      <c r="AF161" s="389"/>
      <c r="AG161" s="389"/>
      <c r="AH161" s="389"/>
      <c r="AI161" s="389"/>
      <c r="AJ161" s="389"/>
      <c r="AK161" s="389"/>
      <c r="AL161" s="389"/>
      <c r="AM161" s="389"/>
      <c r="AN161" s="389"/>
      <c r="AO161" s="390"/>
    </row>
    <row r="162" spans="1:41" ht="16.5" customHeight="1">
      <c r="A162" s="233">
        <v>133</v>
      </c>
      <c r="B162" s="405"/>
      <c r="C162" s="389"/>
      <c r="D162" s="389"/>
      <c r="E162" s="389"/>
      <c r="F162" s="389"/>
      <c r="G162" s="389"/>
      <c r="H162" s="389"/>
      <c r="I162" s="389"/>
      <c r="J162" s="389"/>
      <c r="K162" s="389"/>
      <c r="L162" s="389"/>
      <c r="M162" s="389"/>
      <c r="N162" s="389"/>
      <c r="O162" s="389"/>
      <c r="P162" s="389"/>
      <c r="Q162" s="389"/>
      <c r="R162" s="389"/>
      <c r="S162" s="389"/>
      <c r="T162" s="389"/>
      <c r="U162" s="389"/>
      <c r="V162" s="389"/>
      <c r="W162" s="389"/>
      <c r="X162" s="389"/>
      <c r="Y162" s="389"/>
      <c r="Z162" s="389"/>
      <c r="AA162" s="389"/>
      <c r="AB162" s="389"/>
      <c r="AC162" s="389"/>
      <c r="AD162" s="389"/>
      <c r="AE162" s="389"/>
      <c r="AF162" s="389"/>
      <c r="AG162" s="389"/>
      <c r="AH162" s="389"/>
      <c r="AI162" s="389"/>
      <c r="AJ162" s="389"/>
      <c r="AK162" s="389"/>
      <c r="AL162" s="389"/>
      <c r="AM162" s="389"/>
      <c r="AN162" s="389"/>
      <c r="AO162" s="390"/>
    </row>
    <row r="163" spans="1:41" ht="16.5" customHeight="1">
      <c r="A163" s="233">
        <v>134</v>
      </c>
      <c r="B163" s="405"/>
      <c r="C163" s="389"/>
      <c r="D163" s="389"/>
      <c r="E163" s="389"/>
      <c r="F163" s="389"/>
      <c r="G163" s="389"/>
      <c r="H163" s="389"/>
      <c r="I163" s="389"/>
      <c r="J163" s="389"/>
      <c r="K163" s="389"/>
      <c r="L163" s="389"/>
      <c r="M163" s="389"/>
      <c r="N163" s="389"/>
      <c r="O163" s="389"/>
      <c r="P163" s="389"/>
      <c r="Q163" s="389"/>
      <c r="R163" s="389"/>
      <c r="S163" s="389"/>
      <c r="T163" s="389"/>
      <c r="U163" s="389"/>
      <c r="V163" s="389"/>
      <c r="W163" s="389"/>
      <c r="X163" s="389"/>
      <c r="Y163" s="389"/>
      <c r="Z163" s="389"/>
      <c r="AA163" s="389"/>
      <c r="AB163" s="389"/>
      <c r="AC163" s="389"/>
      <c r="AD163" s="389"/>
      <c r="AE163" s="389"/>
      <c r="AF163" s="389"/>
      <c r="AG163" s="389"/>
      <c r="AH163" s="389"/>
      <c r="AI163" s="389"/>
      <c r="AJ163" s="389"/>
      <c r="AK163" s="389"/>
      <c r="AL163" s="389"/>
      <c r="AM163" s="389"/>
      <c r="AN163" s="389"/>
      <c r="AO163" s="390"/>
    </row>
    <row r="164" spans="1:41" ht="16.5" customHeight="1">
      <c r="A164" s="233">
        <v>135</v>
      </c>
      <c r="B164" s="405"/>
      <c r="C164" s="389"/>
      <c r="D164" s="389"/>
      <c r="E164" s="389"/>
      <c r="F164" s="389"/>
      <c r="G164" s="389"/>
      <c r="H164" s="389"/>
      <c r="I164" s="389"/>
      <c r="J164" s="389"/>
      <c r="K164" s="389"/>
      <c r="L164" s="389"/>
      <c r="M164" s="389"/>
      <c r="N164" s="389"/>
      <c r="O164" s="389"/>
      <c r="P164" s="389"/>
      <c r="Q164" s="389"/>
      <c r="R164" s="389"/>
      <c r="S164" s="389"/>
      <c r="T164" s="389"/>
      <c r="U164" s="389"/>
      <c r="V164" s="389"/>
      <c r="W164" s="389"/>
      <c r="X164" s="389"/>
      <c r="Y164" s="389"/>
      <c r="Z164" s="389"/>
      <c r="AA164" s="389"/>
      <c r="AB164" s="389"/>
      <c r="AC164" s="389"/>
      <c r="AD164" s="389"/>
      <c r="AE164" s="389"/>
      <c r="AF164" s="389"/>
      <c r="AG164" s="389"/>
      <c r="AH164" s="389"/>
      <c r="AI164" s="389"/>
      <c r="AJ164" s="389"/>
      <c r="AK164" s="389"/>
      <c r="AL164" s="389"/>
      <c r="AM164" s="389"/>
      <c r="AN164" s="389"/>
      <c r="AO164" s="390"/>
    </row>
    <row r="165" spans="1:41" ht="16.5" customHeight="1">
      <c r="A165" s="233">
        <v>136</v>
      </c>
      <c r="B165" s="405"/>
      <c r="C165" s="389"/>
      <c r="D165" s="389"/>
      <c r="E165" s="389"/>
      <c r="F165" s="389"/>
      <c r="G165" s="389"/>
      <c r="H165" s="389"/>
      <c r="I165" s="389"/>
      <c r="J165" s="389"/>
      <c r="K165" s="389"/>
      <c r="L165" s="389"/>
      <c r="M165" s="389"/>
      <c r="N165" s="389"/>
      <c r="O165" s="389"/>
      <c r="P165" s="389"/>
      <c r="Q165" s="389"/>
      <c r="R165" s="389"/>
      <c r="S165" s="389"/>
      <c r="T165" s="389"/>
      <c r="U165" s="389"/>
      <c r="V165" s="389"/>
      <c r="W165" s="389"/>
      <c r="X165" s="389"/>
      <c r="Y165" s="389"/>
      <c r="Z165" s="389"/>
      <c r="AA165" s="389"/>
      <c r="AB165" s="389"/>
      <c r="AC165" s="389"/>
      <c r="AD165" s="389"/>
      <c r="AE165" s="389"/>
      <c r="AF165" s="389"/>
      <c r="AG165" s="389"/>
      <c r="AH165" s="389"/>
      <c r="AI165" s="389"/>
      <c r="AJ165" s="389"/>
      <c r="AK165" s="389"/>
      <c r="AL165" s="389"/>
      <c r="AM165" s="389"/>
      <c r="AN165" s="389"/>
      <c r="AO165" s="390"/>
    </row>
    <row r="166" spans="1:41" ht="16.5" customHeight="1">
      <c r="A166" s="233">
        <v>137</v>
      </c>
      <c r="B166" s="405"/>
      <c r="C166" s="389"/>
      <c r="D166" s="389"/>
      <c r="E166" s="389"/>
      <c r="F166" s="389"/>
      <c r="G166" s="389"/>
      <c r="H166" s="389"/>
      <c r="I166" s="389"/>
      <c r="J166" s="389"/>
      <c r="K166" s="389"/>
      <c r="L166" s="389"/>
      <c r="M166" s="389"/>
      <c r="N166" s="389"/>
      <c r="O166" s="389"/>
      <c r="P166" s="389"/>
      <c r="Q166" s="389"/>
      <c r="R166" s="389"/>
      <c r="S166" s="389"/>
      <c r="T166" s="389"/>
      <c r="U166" s="389"/>
      <c r="V166" s="389"/>
      <c r="W166" s="389"/>
      <c r="X166" s="389"/>
      <c r="Y166" s="389"/>
      <c r="Z166" s="389"/>
      <c r="AA166" s="389"/>
      <c r="AB166" s="389"/>
      <c r="AC166" s="389"/>
      <c r="AD166" s="389"/>
      <c r="AE166" s="389"/>
      <c r="AF166" s="389"/>
      <c r="AG166" s="389"/>
      <c r="AH166" s="389"/>
      <c r="AI166" s="389"/>
      <c r="AJ166" s="389"/>
      <c r="AK166" s="389"/>
      <c r="AL166" s="389"/>
      <c r="AM166" s="389"/>
      <c r="AN166" s="389"/>
      <c r="AO166" s="390"/>
    </row>
    <row r="167" spans="1:41" ht="16.5" customHeight="1">
      <c r="A167" s="233">
        <v>138</v>
      </c>
      <c r="B167" s="405"/>
      <c r="C167" s="389"/>
      <c r="D167" s="389"/>
      <c r="E167" s="389"/>
      <c r="F167" s="389"/>
      <c r="G167" s="389"/>
      <c r="H167" s="389"/>
      <c r="I167" s="389"/>
      <c r="J167" s="389"/>
      <c r="K167" s="389"/>
      <c r="L167" s="389"/>
      <c r="M167" s="389"/>
      <c r="N167" s="389"/>
      <c r="O167" s="389"/>
      <c r="P167" s="389"/>
      <c r="Q167" s="389"/>
      <c r="R167" s="389"/>
      <c r="S167" s="389"/>
      <c r="T167" s="389"/>
      <c r="U167" s="389"/>
      <c r="V167" s="389"/>
      <c r="W167" s="389"/>
      <c r="X167" s="389"/>
      <c r="Y167" s="389"/>
      <c r="Z167" s="389"/>
      <c r="AA167" s="389"/>
      <c r="AB167" s="389"/>
      <c r="AC167" s="389"/>
      <c r="AD167" s="389"/>
      <c r="AE167" s="389"/>
      <c r="AF167" s="389"/>
      <c r="AG167" s="389"/>
      <c r="AH167" s="389"/>
      <c r="AI167" s="389"/>
      <c r="AJ167" s="389"/>
      <c r="AK167" s="389"/>
      <c r="AL167" s="389"/>
      <c r="AM167" s="389"/>
      <c r="AN167" s="389"/>
      <c r="AO167" s="390"/>
    </row>
    <row r="168" spans="1:41" ht="16.5" customHeight="1">
      <c r="A168" s="233">
        <v>139</v>
      </c>
      <c r="B168" s="405"/>
      <c r="C168" s="389"/>
      <c r="D168" s="389"/>
      <c r="E168" s="389"/>
      <c r="F168" s="389"/>
      <c r="G168" s="389"/>
      <c r="H168" s="389"/>
      <c r="I168" s="389"/>
      <c r="J168" s="389"/>
      <c r="K168" s="389"/>
      <c r="L168" s="389"/>
      <c r="M168" s="389"/>
      <c r="N168" s="389"/>
      <c r="O168" s="389"/>
      <c r="P168" s="389"/>
      <c r="Q168" s="389"/>
      <c r="R168" s="389"/>
      <c r="S168" s="389"/>
      <c r="T168" s="389"/>
      <c r="U168" s="389"/>
      <c r="V168" s="389"/>
      <c r="W168" s="389"/>
      <c r="X168" s="389"/>
      <c r="Y168" s="389"/>
      <c r="Z168" s="389"/>
      <c r="AA168" s="389"/>
      <c r="AB168" s="389"/>
      <c r="AC168" s="389"/>
      <c r="AD168" s="389"/>
      <c r="AE168" s="389"/>
      <c r="AF168" s="389"/>
      <c r="AG168" s="389"/>
      <c r="AH168" s="389"/>
      <c r="AI168" s="389"/>
      <c r="AJ168" s="389"/>
      <c r="AK168" s="389"/>
      <c r="AL168" s="389"/>
      <c r="AM168" s="389"/>
      <c r="AN168" s="389"/>
      <c r="AO168" s="390"/>
    </row>
    <row r="169" spans="1:41" ht="16.5" customHeight="1">
      <c r="A169" s="233">
        <v>140</v>
      </c>
      <c r="B169" s="405"/>
      <c r="C169" s="389"/>
      <c r="D169" s="389"/>
      <c r="E169" s="389"/>
      <c r="F169" s="389"/>
      <c r="G169" s="389"/>
      <c r="H169" s="389"/>
      <c r="I169" s="389"/>
      <c r="J169" s="389"/>
      <c r="K169" s="389"/>
      <c r="L169" s="389"/>
      <c r="M169" s="389"/>
      <c r="N169" s="389"/>
      <c r="O169" s="389"/>
      <c r="P169" s="389"/>
      <c r="Q169" s="389"/>
      <c r="R169" s="389"/>
      <c r="S169" s="389"/>
      <c r="T169" s="389"/>
      <c r="U169" s="389"/>
      <c r="V169" s="389"/>
      <c r="W169" s="389"/>
      <c r="X169" s="389"/>
      <c r="Y169" s="389"/>
      <c r="Z169" s="389"/>
      <c r="AA169" s="389"/>
      <c r="AB169" s="389"/>
      <c r="AC169" s="389"/>
      <c r="AD169" s="389"/>
      <c r="AE169" s="389"/>
      <c r="AF169" s="389"/>
      <c r="AG169" s="389"/>
      <c r="AH169" s="389"/>
      <c r="AI169" s="389"/>
      <c r="AJ169" s="389"/>
      <c r="AK169" s="389"/>
      <c r="AL169" s="389"/>
      <c r="AM169" s="389"/>
      <c r="AN169" s="389"/>
      <c r="AO169" s="390"/>
    </row>
    <row r="170" spans="1:41" ht="16.5" customHeight="1">
      <c r="A170" s="233">
        <v>141</v>
      </c>
      <c r="B170" s="405"/>
      <c r="C170" s="389"/>
      <c r="D170" s="389"/>
      <c r="E170" s="389"/>
      <c r="F170" s="389"/>
      <c r="G170" s="389"/>
      <c r="H170" s="389"/>
      <c r="I170" s="389"/>
      <c r="J170" s="389"/>
      <c r="K170" s="389"/>
      <c r="L170" s="389"/>
      <c r="M170" s="389"/>
      <c r="N170" s="389"/>
      <c r="O170" s="389"/>
      <c r="P170" s="389"/>
      <c r="Q170" s="389"/>
      <c r="R170" s="389"/>
      <c r="S170" s="389"/>
      <c r="T170" s="389"/>
      <c r="U170" s="389"/>
      <c r="V170" s="389"/>
      <c r="W170" s="389"/>
      <c r="X170" s="389"/>
      <c r="Y170" s="389"/>
      <c r="Z170" s="389"/>
      <c r="AA170" s="389"/>
      <c r="AB170" s="389"/>
      <c r="AC170" s="389"/>
      <c r="AD170" s="389"/>
      <c r="AE170" s="389"/>
      <c r="AF170" s="389"/>
      <c r="AG170" s="389"/>
      <c r="AH170" s="389"/>
      <c r="AI170" s="389"/>
      <c r="AJ170" s="389"/>
      <c r="AK170" s="389"/>
      <c r="AL170" s="389"/>
      <c r="AM170" s="389"/>
      <c r="AN170" s="389"/>
      <c r="AO170" s="390"/>
    </row>
    <row r="171" spans="1:41" ht="16.5" customHeight="1">
      <c r="A171" s="233">
        <v>142</v>
      </c>
      <c r="B171" s="405"/>
      <c r="C171" s="389"/>
      <c r="D171" s="389"/>
      <c r="E171" s="389"/>
      <c r="F171" s="389"/>
      <c r="G171" s="389"/>
      <c r="H171" s="389"/>
      <c r="I171" s="389"/>
      <c r="J171" s="389"/>
      <c r="K171" s="389"/>
      <c r="L171" s="389"/>
      <c r="M171" s="389"/>
      <c r="N171" s="389"/>
      <c r="O171" s="389"/>
      <c r="P171" s="389"/>
      <c r="Q171" s="389"/>
      <c r="R171" s="389"/>
      <c r="S171" s="389"/>
      <c r="T171" s="389"/>
      <c r="U171" s="389"/>
      <c r="V171" s="389"/>
      <c r="W171" s="389"/>
      <c r="X171" s="389"/>
      <c r="Y171" s="389"/>
      <c r="Z171" s="389"/>
      <c r="AA171" s="389"/>
      <c r="AB171" s="389"/>
      <c r="AC171" s="389"/>
      <c r="AD171" s="389"/>
      <c r="AE171" s="389"/>
      <c r="AF171" s="389"/>
      <c r="AG171" s="389"/>
      <c r="AH171" s="389"/>
      <c r="AI171" s="389"/>
      <c r="AJ171" s="389"/>
      <c r="AK171" s="389"/>
      <c r="AL171" s="389"/>
      <c r="AM171" s="389"/>
      <c r="AN171" s="389"/>
      <c r="AO171" s="390"/>
    </row>
    <row r="172" spans="1:41" ht="16.5" customHeight="1">
      <c r="A172" s="233">
        <v>143</v>
      </c>
      <c r="B172" s="405"/>
      <c r="C172" s="389"/>
      <c r="D172" s="389"/>
      <c r="E172" s="389"/>
      <c r="F172" s="389"/>
      <c r="G172" s="389"/>
      <c r="H172" s="389"/>
      <c r="I172" s="389"/>
      <c r="J172" s="389"/>
      <c r="K172" s="389"/>
      <c r="L172" s="389"/>
      <c r="M172" s="389"/>
      <c r="N172" s="389"/>
      <c r="O172" s="389"/>
      <c r="P172" s="389"/>
      <c r="Q172" s="389"/>
      <c r="R172" s="389"/>
      <c r="S172" s="389"/>
      <c r="T172" s="389"/>
      <c r="U172" s="389"/>
      <c r="V172" s="389"/>
      <c r="W172" s="389"/>
      <c r="X172" s="389"/>
      <c r="Y172" s="389"/>
      <c r="Z172" s="389"/>
      <c r="AA172" s="389"/>
      <c r="AB172" s="389"/>
      <c r="AC172" s="389"/>
      <c r="AD172" s="389"/>
      <c r="AE172" s="389"/>
      <c r="AF172" s="389"/>
      <c r="AG172" s="389"/>
      <c r="AH172" s="389"/>
      <c r="AI172" s="389"/>
      <c r="AJ172" s="389"/>
      <c r="AK172" s="389"/>
      <c r="AL172" s="389"/>
      <c r="AM172" s="389"/>
      <c r="AN172" s="389"/>
      <c r="AO172" s="390"/>
    </row>
    <row r="173" spans="1:41" ht="16.5" customHeight="1">
      <c r="A173" s="233">
        <v>144</v>
      </c>
      <c r="B173" s="405"/>
      <c r="C173" s="389"/>
      <c r="D173" s="389"/>
      <c r="E173" s="389"/>
      <c r="F173" s="389"/>
      <c r="G173" s="389"/>
      <c r="H173" s="389"/>
      <c r="I173" s="389"/>
      <c r="J173" s="389"/>
      <c r="K173" s="389"/>
      <c r="L173" s="389"/>
      <c r="M173" s="389"/>
      <c r="N173" s="389"/>
      <c r="O173" s="389"/>
      <c r="P173" s="389"/>
      <c r="Q173" s="389"/>
      <c r="R173" s="389"/>
      <c r="S173" s="389"/>
      <c r="T173" s="389"/>
      <c r="U173" s="389"/>
      <c r="V173" s="389"/>
      <c r="W173" s="389"/>
      <c r="X173" s="389"/>
      <c r="Y173" s="389"/>
      <c r="Z173" s="389"/>
      <c r="AA173" s="389"/>
      <c r="AB173" s="389"/>
      <c r="AC173" s="389"/>
      <c r="AD173" s="389"/>
      <c r="AE173" s="389"/>
      <c r="AF173" s="389"/>
      <c r="AG173" s="389"/>
      <c r="AH173" s="389"/>
      <c r="AI173" s="389"/>
      <c r="AJ173" s="389"/>
      <c r="AK173" s="389"/>
      <c r="AL173" s="389"/>
      <c r="AM173" s="389"/>
      <c r="AN173" s="389"/>
      <c r="AO173" s="390"/>
    </row>
    <row r="174" spans="1:41" ht="16.5" customHeight="1">
      <c r="A174" s="233">
        <v>145</v>
      </c>
      <c r="B174" s="405"/>
      <c r="C174" s="389"/>
      <c r="D174" s="389"/>
      <c r="E174" s="389"/>
      <c r="F174" s="389"/>
      <c r="G174" s="389"/>
      <c r="H174" s="389"/>
      <c r="I174" s="389"/>
      <c r="J174" s="389"/>
      <c r="K174" s="389"/>
      <c r="L174" s="389"/>
      <c r="M174" s="389"/>
      <c r="N174" s="389"/>
      <c r="O174" s="389"/>
      <c r="P174" s="389"/>
      <c r="Q174" s="389"/>
      <c r="R174" s="389"/>
      <c r="S174" s="389"/>
      <c r="T174" s="389"/>
      <c r="U174" s="389"/>
      <c r="V174" s="389"/>
      <c r="W174" s="389"/>
      <c r="X174" s="389"/>
      <c r="Y174" s="389"/>
      <c r="Z174" s="389"/>
      <c r="AA174" s="389"/>
      <c r="AB174" s="389"/>
      <c r="AC174" s="389"/>
      <c r="AD174" s="389"/>
      <c r="AE174" s="389"/>
      <c r="AF174" s="389"/>
      <c r="AG174" s="389"/>
      <c r="AH174" s="389"/>
      <c r="AI174" s="389"/>
      <c r="AJ174" s="389"/>
      <c r="AK174" s="389"/>
      <c r="AL174" s="389"/>
      <c r="AM174" s="389"/>
      <c r="AN174" s="389"/>
      <c r="AO174" s="390"/>
    </row>
    <row r="175" spans="1:41" ht="16.5" customHeight="1">
      <c r="A175" s="233">
        <v>146</v>
      </c>
      <c r="B175" s="405"/>
      <c r="C175" s="389"/>
      <c r="D175" s="389"/>
      <c r="E175" s="389"/>
      <c r="F175" s="389"/>
      <c r="G175" s="389"/>
      <c r="H175" s="389"/>
      <c r="I175" s="389"/>
      <c r="J175" s="389"/>
      <c r="K175" s="389"/>
      <c r="L175" s="389"/>
      <c r="M175" s="389"/>
      <c r="N175" s="389"/>
      <c r="O175" s="389"/>
      <c r="P175" s="389"/>
      <c r="Q175" s="389"/>
      <c r="R175" s="389"/>
      <c r="S175" s="389"/>
      <c r="T175" s="389"/>
      <c r="U175" s="389"/>
      <c r="V175" s="389"/>
      <c r="W175" s="389"/>
      <c r="X175" s="389"/>
      <c r="Y175" s="389"/>
      <c r="Z175" s="389"/>
      <c r="AA175" s="389"/>
      <c r="AB175" s="389"/>
      <c r="AC175" s="389"/>
      <c r="AD175" s="389"/>
      <c r="AE175" s="389"/>
      <c r="AF175" s="389"/>
      <c r="AG175" s="389"/>
      <c r="AH175" s="389"/>
      <c r="AI175" s="389"/>
      <c r="AJ175" s="389"/>
      <c r="AK175" s="389"/>
      <c r="AL175" s="389"/>
      <c r="AM175" s="389"/>
      <c r="AN175" s="389"/>
      <c r="AO175" s="390"/>
    </row>
    <row r="176" spans="1:41" ht="16.5" customHeight="1">
      <c r="A176" s="233">
        <v>147</v>
      </c>
      <c r="B176" s="405"/>
      <c r="C176" s="389"/>
      <c r="D176" s="389"/>
      <c r="E176" s="389"/>
      <c r="F176" s="389"/>
      <c r="G176" s="389"/>
      <c r="H176" s="389"/>
      <c r="I176" s="389"/>
      <c r="J176" s="389"/>
      <c r="K176" s="389"/>
      <c r="L176" s="389"/>
      <c r="M176" s="389"/>
      <c r="N176" s="389"/>
      <c r="O176" s="389"/>
      <c r="P176" s="389"/>
      <c r="Q176" s="389"/>
      <c r="R176" s="389"/>
      <c r="S176" s="389"/>
      <c r="T176" s="389"/>
      <c r="U176" s="389"/>
      <c r="V176" s="389"/>
      <c r="W176" s="389"/>
      <c r="X176" s="389"/>
      <c r="Y176" s="389"/>
      <c r="Z176" s="389"/>
      <c r="AA176" s="389"/>
      <c r="AB176" s="389"/>
      <c r="AC176" s="389"/>
      <c r="AD176" s="389"/>
      <c r="AE176" s="389"/>
      <c r="AF176" s="389"/>
      <c r="AG176" s="389"/>
      <c r="AH176" s="389"/>
      <c r="AI176" s="389"/>
      <c r="AJ176" s="389"/>
      <c r="AK176" s="389"/>
      <c r="AL176" s="389"/>
      <c r="AM176" s="389"/>
      <c r="AN176" s="389"/>
      <c r="AO176" s="390"/>
    </row>
    <row r="177" spans="1:41" ht="16.5" customHeight="1">
      <c r="A177" s="233">
        <v>148</v>
      </c>
      <c r="B177" s="405"/>
      <c r="C177" s="389"/>
      <c r="D177" s="389"/>
      <c r="E177" s="389"/>
      <c r="F177" s="389"/>
      <c r="G177" s="389"/>
      <c r="H177" s="389"/>
      <c r="I177" s="389"/>
      <c r="J177" s="389"/>
      <c r="K177" s="389"/>
      <c r="L177" s="389"/>
      <c r="M177" s="389"/>
      <c r="N177" s="389"/>
      <c r="O177" s="389"/>
      <c r="P177" s="389"/>
      <c r="Q177" s="389"/>
      <c r="R177" s="389"/>
      <c r="S177" s="389"/>
      <c r="T177" s="389"/>
      <c r="U177" s="389"/>
      <c r="V177" s="389"/>
      <c r="W177" s="389"/>
      <c r="X177" s="389"/>
      <c r="Y177" s="389"/>
      <c r="Z177" s="389"/>
      <c r="AA177" s="389"/>
      <c r="AB177" s="389"/>
      <c r="AC177" s="389"/>
      <c r="AD177" s="389"/>
      <c r="AE177" s="389"/>
      <c r="AF177" s="389"/>
      <c r="AG177" s="389"/>
      <c r="AH177" s="389"/>
      <c r="AI177" s="389"/>
      <c r="AJ177" s="389"/>
      <c r="AK177" s="389"/>
      <c r="AL177" s="389"/>
      <c r="AM177" s="389"/>
      <c r="AN177" s="389"/>
      <c r="AO177" s="390"/>
    </row>
    <row r="178" spans="1:41" ht="16.5" customHeight="1">
      <c r="A178" s="233">
        <v>149</v>
      </c>
      <c r="B178" s="405"/>
      <c r="C178" s="389"/>
      <c r="D178" s="389"/>
      <c r="E178" s="389"/>
      <c r="F178" s="389"/>
      <c r="G178" s="389"/>
      <c r="H178" s="389"/>
      <c r="I178" s="389"/>
      <c r="J178" s="389"/>
      <c r="K178" s="389"/>
      <c r="L178" s="389"/>
      <c r="M178" s="389"/>
      <c r="N178" s="389"/>
      <c r="O178" s="389"/>
      <c r="P178" s="389"/>
      <c r="Q178" s="389"/>
      <c r="R178" s="389"/>
      <c r="S178" s="389"/>
      <c r="T178" s="389"/>
      <c r="U178" s="389"/>
      <c r="V178" s="389"/>
      <c r="W178" s="389"/>
      <c r="X178" s="389"/>
      <c r="Y178" s="389"/>
      <c r="Z178" s="389"/>
      <c r="AA178" s="389"/>
      <c r="AB178" s="389"/>
      <c r="AC178" s="389"/>
      <c r="AD178" s="389"/>
      <c r="AE178" s="389"/>
      <c r="AF178" s="389"/>
      <c r="AG178" s="389"/>
      <c r="AH178" s="389"/>
      <c r="AI178" s="389"/>
      <c r="AJ178" s="389"/>
      <c r="AK178" s="389"/>
      <c r="AL178" s="389"/>
      <c r="AM178" s="389"/>
      <c r="AN178" s="389"/>
      <c r="AO178" s="390"/>
    </row>
    <row r="179" spans="1:41" ht="16.5" customHeight="1" thickBot="1">
      <c r="A179" s="233">
        <v>150</v>
      </c>
      <c r="B179" s="409"/>
      <c r="C179" s="410"/>
      <c r="D179" s="410"/>
      <c r="E179" s="410"/>
      <c r="F179" s="410"/>
      <c r="G179" s="410"/>
      <c r="H179" s="410"/>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c r="AI179" s="410"/>
      <c r="AJ179" s="410"/>
      <c r="AK179" s="410"/>
      <c r="AL179" s="410"/>
      <c r="AM179" s="410"/>
      <c r="AN179" s="410"/>
      <c r="AO179" s="411"/>
    </row>
    <row r="221" spans="1:5" ht="16.5" customHeight="1">
      <c r="A221" s="236" t="s">
        <v>133</v>
      </c>
      <c r="B221" s="236" t="s">
        <v>1895</v>
      </c>
      <c r="D221" s="16">
        <f>主要!BU19</f>
        <v>0</v>
      </c>
      <c r="E221" s="16" t="str">
        <f>IFERROR(VLOOKUP(D221,$A$222:$B$317,2,FALSE),"")</f>
        <v/>
      </c>
    </row>
    <row r="222" spans="1:5" ht="16.5" customHeight="1">
      <c r="A222" s="15" t="s">
        <v>1896</v>
      </c>
      <c r="B222" s="15" t="s">
        <v>5179</v>
      </c>
      <c r="D222" s="16">
        <f>主要!BU20</f>
        <v>0</v>
      </c>
      <c r="E222" s="16" t="str">
        <f t="shared" ref="E222:E230" si="5">IFERROR(VLOOKUP(D222,$A$222:$B$317,2,FALSE),"")</f>
        <v/>
      </c>
    </row>
    <row r="223" spans="1:5" ht="16.5" customHeight="1">
      <c r="A223" s="15" t="s">
        <v>1897</v>
      </c>
      <c r="B223" s="15" t="s">
        <v>5180</v>
      </c>
      <c r="D223" s="16">
        <f>主要!BU21</f>
        <v>0</v>
      </c>
      <c r="E223" s="16" t="str">
        <f t="shared" si="5"/>
        <v/>
      </c>
    </row>
    <row r="224" spans="1:5" ht="16.5" customHeight="1">
      <c r="A224" s="15" t="s">
        <v>1898</v>
      </c>
      <c r="B224" s="15" t="s">
        <v>5181</v>
      </c>
      <c r="D224" s="16">
        <f>主要!BU22</f>
        <v>0</v>
      </c>
      <c r="E224" s="16" t="str">
        <f t="shared" si="5"/>
        <v/>
      </c>
    </row>
    <row r="225" spans="1:5" ht="16.5" customHeight="1">
      <c r="A225" s="15" t="s">
        <v>1899</v>
      </c>
      <c r="B225" s="15" t="s">
        <v>3722</v>
      </c>
      <c r="D225" s="16">
        <f>主要!BU23</f>
        <v>0</v>
      </c>
      <c r="E225" s="16" t="str">
        <f t="shared" si="5"/>
        <v/>
      </c>
    </row>
    <row r="226" spans="1:5" ht="16.5" customHeight="1">
      <c r="A226" s="15" t="s">
        <v>1900</v>
      </c>
      <c r="B226" s="15" t="s">
        <v>5182</v>
      </c>
      <c r="D226" s="16">
        <f>主要!BU24</f>
        <v>0</v>
      </c>
      <c r="E226" s="16" t="str">
        <f t="shared" si="5"/>
        <v/>
      </c>
    </row>
    <row r="227" spans="1:5" ht="16.5" customHeight="1">
      <c r="A227" s="15" t="s">
        <v>1901</v>
      </c>
      <c r="B227" s="15" t="s">
        <v>3723</v>
      </c>
      <c r="D227" s="16">
        <f>主要!BU25</f>
        <v>0</v>
      </c>
      <c r="E227" s="16" t="str">
        <f t="shared" si="5"/>
        <v/>
      </c>
    </row>
    <row r="228" spans="1:5" ht="16.5" customHeight="1">
      <c r="A228" s="15" t="s">
        <v>1902</v>
      </c>
      <c r="B228" s="15" t="s">
        <v>5183</v>
      </c>
      <c r="D228" s="16">
        <f>主要!BU26</f>
        <v>0</v>
      </c>
      <c r="E228" s="16" t="str">
        <f t="shared" si="5"/>
        <v/>
      </c>
    </row>
    <row r="229" spans="1:5" ht="16.5" customHeight="1">
      <c r="A229" s="15" t="s">
        <v>1903</v>
      </c>
      <c r="B229" s="15" t="s">
        <v>5184</v>
      </c>
      <c r="D229" s="16">
        <f>主要!BU27</f>
        <v>0</v>
      </c>
      <c r="E229" s="16" t="str">
        <f t="shared" si="5"/>
        <v/>
      </c>
    </row>
    <row r="230" spans="1:5" ht="16.5" customHeight="1">
      <c r="A230" s="15" t="s">
        <v>1904</v>
      </c>
      <c r="B230" s="15" t="s">
        <v>5185</v>
      </c>
      <c r="D230" s="16">
        <f>主要!BU28</f>
        <v>0</v>
      </c>
      <c r="E230" s="16" t="str">
        <f t="shared" si="5"/>
        <v/>
      </c>
    </row>
    <row r="231" spans="1:5" ht="16.5" customHeight="1">
      <c r="A231" s="15" t="s">
        <v>1905</v>
      </c>
      <c r="B231" s="15" t="s">
        <v>5186</v>
      </c>
      <c r="D231" s="16">
        <f>主要!BU29</f>
        <v>0</v>
      </c>
      <c r="E231" s="16" t="str">
        <f t="shared" ref="E231" si="6">IFERROR(VLOOKUP(D231,$A$222:$B$317,2,FALSE),"")</f>
        <v/>
      </c>
    </row>
    <row r="232" spans="1:5" ht="16.5" customHeight="1">
      <c r="A232" s="15" t="s">
        <v>1906</v>
      </c>
      <c r="B232" s="15" t="s">
        <v>5187</v>
      </c>
    </row>
    <row r="233" spans="1:5" ht="16.5" customHeight="1">
      <c r="A233" s="15" t="s">
        <v>1907</v>
      </c>
      <c r="B233" s="15" t="s">
        <v>5206</v>
      </c>
    </row>
    <row r="234" spans="1:5" ht="16.5" customHeight="1">
      <c r="A234" s="15" t="s">
        <v>1908</v>
      </c>
      <c r="B234" s="15" t="s">
        <v>5188</v>
      </c>
    </row>
    <row r="235" spans="1:5" ht="16.5" customHeight="1">
      <c r="A235" s="15" t="s">
        <v>1909</v>
      </c>
      <c r="B235" s="15" t="s">
        <v>5189</v>
      </c>
    </row>
    <row r="236" spans="1:5" ht="16.5" customHeight="1">
      <c r="A236" s="15" t="s">
        <v>1910</v>
      </c>
      <c r="B236" s="15" t="s">
        <v>5190</v>
      </c>
    </row>
    <row r="237" spans="1:5" ht="16.5" customHeight="1">
      <c r="A237" s="15" t="s">
        <v>1911</v>
      </c>
      <c r="B237" s="15" t="s">
        <v>5207</v>
      </c>
    </row>
    <row r="238" spans="1:5" ht="16.5" customHeight="1">
      <c r="A238" s="15" t="s">
        <v>1912</v>
      </c>
      <c r="B238" s="15" t="s">
        <v>5208</v>
      </c>
    </row>
    <row r="239" spans="1:5" ht="16.5" customHeight="1">
      <c r="A239" s="15" t="s">
        <v>1913</v>
      </c>
      <c r="B239" s="15" t="s">
        <v>5191</v>
      </c>
    </row>
    <row r="240" spans="1:5" ht="16.5" customHeight="1">
      <c r="A240" s="15" t="s">
        <v>1914</v>
      </c>
      <c r="B240" s="15" t="s">
        <v>5192</v>
      </c>
    </row>
    <row r="241" spans="1:2" ht="16.5" customHeight="1">
      <c r="A241" s="15" t="s">
        <v>261</v>
      </c>
      <c r="B241" s="15" t="s">
        <v>5193</v>
      </c>
    </row>
    <row r="242" spans="1:2" ht="16.5" customHeight="1">
      <c r="A242" s="15" t="s">
        <v>1915</v>
      </c>
      <c r="B242" s="15" t="s">
        <v>5194</v>
      </c>
    </row>
    <row r="243" spans="1:2" ht="16.5" customHeight="1">
      <c r="A243" s="15" t="s">
        <v>1916</v>
      </c>
      <c r="B243" s="15" t="s">
        <v>5620</v>
      </c>
    </row>
    <row r="244" spans="1:2" ht="16.5" customHeight="1">
      <c r="A244" s="15" t="s">
        <v>1917</v>
      </c>
      <c r="B244" s="15" t="s">
        <v>5195</v>
      </c>
    </row>
    <row r="245" spans="1:2" ht="16.5" customHeight="1">
      <c r="A245" s="15" t="s">
        <v>1918</v>
      </c>
      <c r="B245" s="15" t="s">
        <v>5196</v>
      </c>
    </row>
    <row r="246" spans="1:2" ht="16.5" customHeight="1">
      <c r="A246" s="15" t="s">
        <v>1919</v>
      </c>
      <c r="B246" s="15" t="s">
        <v>5197</v>
      </c>
    </row>
    <row r="247" spans="1:2" ht="16.5" customHeight="1">
      <c r="A247" s="15" t="s">
        <v>1920</v>
      </c>
      <c r="B247" s="15" t="s">
        <v>5198</v>
      </c>
    </row>
    <row r="248" spans="1:2" ht="16.5" customHeight="1">
      <c r="A248" s="15" t="s">
        <v>1921</v>
      </c>
      <c r="B248" s="15" t="s">
        <v>5209</v>
      </c>
    </row>
    <row r="249" spans="1:2" ht="16.5" customHeight="1">
      <c r="A249" s="15" t="s">
        <v>1922</v>
      </c>
      <c r="B249" s="15" t="s">
        <v>5199</v>
      </c>
    </row>
    <row r="250" spans="1:2" ht="16.5" customHeight="1">
      <c r="A250" s="15" t="s">
        <v>1923</v>
      </c>
      <c r="B250" s="15" t="s">
        <v>5210</v>
      </c>
    </row>
    <row r="251" spans="1:2" ht="16.5" customHeight="1">
      <c r="A251" s="15" t="s">
        <v>1924</v>
      </c>
      <c r="B251" s="15" t="s">
        <v>5200</v>
      </c>
    </row>
    <row r="252" spans="1:2" ht="16.5" customHeight="1">
      <c r="A252" s="15" t="s">
        <v>1925</v>
      </c>
      <c r="B252" s="15" t="s">
        <v>5621</v>
      </c>
    </row>
    <row r="253" spans="1:2" ht="16.5" customHeight="1">
      <c r="A253" s="15" t="s">
        <v>1926</v>
      </c>
      <c r="B253" s="15" t="s">
        <v>3724</v>
      </c>
    </row>
    <row r="254" spans="1:2" ht="16.5" customHeight="1">
      <c r="A254" s="15" t="s">
        <v>1927</v>
      </c>
      <c r="B254" s="15" t="s">
        <v>5201</v>
      </c>
    </row>
    <row r="255" spans="1:2" ht="16.5" customHeight="1">
      <c r="A255" s="15" t="s">
        <v>1928</v>
      </c>
      <c r="B255" s="15" t="s">
        <v>5211</v>
      </c>
    </row>
    <row r="256" spans="1:2" ht="16.5" customHeight="1">
      <c r="A256" s="15" t="s">
        <v>1929</v>
      </c>
      <c r="B256" s="15" t="s">
        <v>5212</v>
      </c>
    </row>
    <row r="257" spans="1:2" ht="16.5" customHeight="1">
      <c r="A257" s="15" t="s">
        <v>36</v>
      </c>
      <c r="B257" s="15" t="s">
        <v>3725</v>
      </c>
    </row>
    <row r="258" spans="1:2" ht="16.5" customHeight="1">
      <c r="A258" s="15" t="s">
        <v>1930</v>
      </c>
      <c r="B258" s="15" t="s">
        <v>5202</v>
      </c>
    </row>
    <row r="259" spans="1:2" ht="16.5" customHeight="1">
      <c r="A259" s="15" t="s">
        <v>1931</v>
      </c>
      <c r="B259" s="15" t="s">
        <v>5622</v>
      </c>
    </row>
    <row r="260" spans="1:2" ht="16.5" customHeight="1">
      <c r="A260" s="15" t="s">
        <v>1932</v>
      </c>
      <c r="B260" s="15" t="s">
        <v>5213</v>
      </c>
    </row>
    <row r="261" spans="1:2" ht="16.5" customHeight="1">
      <c r="A261" s="15" t="s">
        <v>1933</v>
      </c>
      <c r="B261" s="15" t="s">
        <v>5205</v>
      </c>
    </row>
    <row r="262" spans="1:2" ht="16.5" customHeight="1">
      <c r="A262" s="15" t="s">
        <v>1934</v>
      </c>
      <c r="B262" s="15" t="s">
        <v>5203</v>
      </c>
    </row>
    <row r="263" spans="1:2" ht="16.5" customHeight="1">
      <c r="A263" s="15" t="s">
        <v>1935</v>
      </c>
      <c r="B263" s="15" t="s">
        <v>5204</v>
      </c>
    </row>
    <row r="264" spans="1:2" ht="16.5" customHeight="1">
      <c r="A264" s="237" t="s">
        <v>1936</v>
      </c>
      <c r="B264" s="237" t="s">
        <v>5214</v>
      </c>
    </row>
    <row r="265" spans="1:2" ht="16.5" customHeight="1">
      <c r="A265" s="237" t="s">
        <v>5228</v>
      </c>
      <c r="B265" s="237" t="s">
        <v>5215</v>
      </c>
    </row>
    <row r="266" spans="1:2" ht="16.5" customHeight="1">
      <c r="A266" s="237" t="s">
        <v>5229</v>
      </c>
      <c r="B266" s="237" t="s">
        <v>5216</v>
      </c>
    </row>
    <row r="267" spans="1:2" ht="16.5" customHeight="1">
      <c r="A267" s="237" t="s">
        <v>1937</v>
      </c>
      <c r="B267" s="237" t="s">
        <v>5236</v>
      </c>
    </row>
    <row r="268" spans="1:2" ht="16.5" customHeight="1">
      <c r="A268" s="237" t="s">
        <v>5230</v>
      </c>
      <c r="B268" s="237" t="s">
        <v>5217</v>
      </c>
    </row>
    <row r="269" spans="1:2" ht="16.5" customHeight="1">
      <c r="A269" s="237" t="s">
        <v>1938</v>
      </c>
      <c r="B269" s="237" t="s">
        <v>5218</v>
      </c>
    </row>
    <row r="270" spans="1:2" ht="16.5" customHeight="1">
      <c r="A270" s="237" t="s">
        <v>5231</v>
      </c>
      <c r="B270" s="237" t="s">
        <v>5219</v>
      </c>
    </row>
    <row r="271" spans="1:2" ht="16.5" customHeight="1">
      <c r="A271" s="237" t="s">
        <v>5232</v>
      </c>
      <c r="B271" s="237" t="s">
        <v>5220</v>
      </c>
    </row>
    <row r="272" spans="1:2" ht="16.5" customHeight="1">
      <c r="A272" s="237" t="s">
        <v>1939</v>
      </c>
      <c r="B272" s="237" t="s">
        <v>5221</v>
      </c>
    </row>
    <row r="273" spans="1:2" ht="16.5" customHeight="1">
      <c r="A273" s="237" t="s">
        <v>5233</v>
      </c>
      <c r="B273" s="237" t="s">
        <v>5222</v>
      </c>
    </row>
    <row r="274" spans="1:2" ht="16.5" customHeight="1">
      <c r="A274" s="237" t="s">
        <v>5227</v>
      </c>
      <c r="B274" s="237" t="s">
        <v>5223</v>
      </c>
    </row>
    <row r="275" spans="1:2" ht="16.5" customHeight="1">
      <c r="A275" s="237" t="s">
        <v>5224</v>
      </c>
      <c r="B275" s="237" t="s">
        <v>5225</v>
      </c>
    </row>
    <row r="276" spans="1:2" ht="16.5" customHeight="1">
      <c r="A276" s="237" t="s">
        <v>1940</v>
      </c>
      <c r="B276" s="237" t="s">
        <v>5226</v>
      </c>
    </row>
    <row r="277" spans="1:2" ht="16.5" customHeight="1">
      <c r="A277" s="237" t="s">
        <v>5234</v>
      </c>
      <c r="B277" s="237" t="s">
        <v>5235</v>
      </c>
    </row>
    <row r="278" spans="1:2" ht="16.5" customHeight="1">
      <c r="A278" s="237" t="s">
        <v>1941</v>
      </c>
      <c r="B278" s="237" t="s">
        <v>5237</v>
      </c>
    </row>
    <row r="279" spans="1:2" ht="16.5" customHeight="1">
      <c r="A279" s="238" t="s">
        <v>5238</v>
      </c>
      <c r="B279" s="238" t="s">
        <v>5239</v>
      </c>
    </row>
    <row r="280" spans="1:2" ht="16.5" customHeight="1">
      <c r="A280" s="238" t="s">
        <v>1942</v>
      </c>
      <c r="B280" s="238" t="s">
        <v>5240</v>
      </c>
    </row>
    <row r="281" spans="1:2" ht="16.5" customHeight="1">
      <c r="A281" s="238" t="s">
        <v>1943</v>
      </c>
      <c r="B281" s="238" t="s">
        <v>5241</v>
      </c>
    </row>
    <row r="282" spans="1:2" ht="16.5" customHeight="1">
      <c r="A282" s="238" t="s">
        <v>1944</v>
      </c>
      <c r="B282" s="238" t="s">
        <v>5242</v>
      </c>
    </row>
    <row r="283" spans="1:2" ht="16.5" customHeight="1">
      <c r="A283" s="238" t="s">
        <v>3682</v>
      </c>
      <c r="B283" s="238" t="s">
        <v>5243</v>
      </c>
    </row>
    <row r="284" spans="1:2" ht="16.5" customHeight="1">
      <c r="A284" s="238" t="s">
        <v>1945</v>
      </c>
      <c r="B284" s="238" t="s">
        <v>5244</v>
      </c>
    </row>
    <row r="285" spans="1:2" ht="16.5" customHeight="1">
      <c r="A285" s="238" t="s">
        <v>1946</v>
      </c>
      <c r="B285" s="238" t="s">
        <v>5245</v>
      </c>
    </row>
    <row r="286" spans="1:2" ht="16.5" customHeight="1">
      <c r="A286" s="238" t="s">
        <v>1947</v>
      </c>
      <c r="B286" s="238" t="s">
        <v>5246</v>
      </c>
    </row>
    <row r="287" spans="1:2" ht="16.5" customHeight="1">
      <c r="A287" s="238" t="s">
        <v>1948</v>
      </c>
      <c r="B287" s="238" t="s">
        <v>5247</v>
      </c>
    </row>
    <row r="288" spans="1:2" ht="16.5" customHeight="1">
      <c r="A288" s="238" t="s">
        <v>1949</v>
      </c>
      <c r="B288" s="238" t="s">
        <v>5248</v>
      </c>
    </row>
    <row r="289" spans="1:2" ht="16.5" customHeight="1">
      <c r="A289" s="238" t="s">
        <v>1950</v>
      </c>
      <c r="B289" s="238" t="s">
        <v>5249</v>
      </c>
    </row>
    <row r="290" spans="1:2" ht="16.5" customHeight="1">
      <c r="A290" s="238" t="s">
        <v>1951</v>
      </c>
      <c r="B290" s="238" t="s">
        <v>5250</v>
      </c>
    </row>
    <row r="291" spans="1:2" ht="16.5" customHeight="1">
      <c r="A291" s="238" t="s">
        <v>1952</v>
      </c>
      <c r="B291" s="238" t="s">
        <v>5251</v>
      </c>
    </row>
    <row r="292" spans="1:2" ht="16.5" customHeight="1">
      <c r="A292" s="238" t="s">
        <v>1953</v>
      </c>
      <c r="B292" s="238" t="s">
        <v>5252</v>
      </c>
    </row>
    <row r="293" spans="1:2" ht="16.5" customHeight="1">
      <c r="A293" s="238" t="s">
        <v>1954</v>
      </c>
      <c r="B293" s="238" t="s">
        <v>5253</v>
      </c>
    </row>
    <row r="294" spans="1:2" ht="16.5" customHeight="1">
      <c r="A294" s="239" t="s">
        <v>4667</v>
      </c>
      <c r="B294" s="239" t="s">
        <v>5254</v>
      </c>
    </row>
    <row r="295" spans="1:2" ht="16.5" customHeight="1">
      <c r="A295" s="15" t="s">
        <v>4694</v>
      </c>
      <c r="B295" s="15" t="s">
        <v>5255</v>
      </c>
    </row>
    <row r="296" spans="1:2" ht="16.5" customHeight="1">
      <c r="A296" s="239" t="s">
        <v>4668</v>
      </c>
      <c r="B296" s="239" t="s">
        <v>4669</v>
      </c>
    </row>
    <row r="297" spans="1:2" ht="16.5" customHeight="1">
      <c r="A297" s="239" t="s">
        <v>4670</v>
      </c>
      <c r="B297" s="239" t="s">
        <v>4679</v>
      </c>
    </row>
    <row r="298" spans="1:2" ht="16.5" customHeight="1">
      <c r="A298" s="240" t="s">
        <v>4671</v>
      </c>
      <c r="B298" s="240" t="s">
        <v>4672</v>
      </c>
    </row>
    <row r="299" spans="1:2" ht="16.5" customHeight="1">
      <c r="A299" s="240" t="s">
        <v>4673</v>
      </c>
      <c r="B299" s="240" t="s">
        <v>4674</v>
      </c>
    </row>
    <row r="300" spans="1:2" ht="16.5" customHeight="1">
      <c r="A300" s="240" t="s">
        <v>4675</v>
      </c>
      <c r="B300" s="240" t="s">
        <v>4676</v>
      </c>
    </row>
    <row r="301" spans="1:2" ht="16.5" customHeight="1">
      <c r="A301" s="241" t="s">
        <v>4677</v>
      </c>
      <c r="B301" s="241" t="s">
        <v>5922</v>
      </c>
    </row>
    <row r="302" spans="1:2" ht="16.5" customHeight="1">
      <c r="A302" s="241" t="s">
        <v>4678</v>
      </c>
      <c r="B302" s="241" t="s">
        <v>4680</v>
      </c>
    </row>
    <row r="303" spans="1:2" ht="16.5" customHeight="1">
      <c r="A303" s="241" t="s">
        <v>4681</v>
      </c>
      <c r="B303" s="241" t="s">
        <v>4682</v>
      </c>
    </row>
    <row r="304" spans="1:2" ht="16.5" customHeight="1">
      <c r="A304" s="241" t="s">
        <v>4683</v>
      </c>
      <c r="B304" s="241" t="s">
        <v>4684</v>
      </c>
    </row>
    <row r="305" spans="1:2" ht="16.5" customHeight="1">
      <c r="A305" s="241" t="s">
        <v>4685</v>
      </c>
      <c r="B305" s="241" t="s">
        <v>4686</v>
      </c>
    </row>
    <row r="306" spans="1:2" ht="16.5" customHeight="1">
      <c r="A306" s="241" t="s">
        <v>4687</v>
      </c>
      <c r="B306" s="241" t="s">
        <v>4688</v>
      </c>
    </row>
    <row r="307" spans="1:2" ht="16.5" customHeight="1">
      <c r="A307" s="241" t="s">
        <v>4689</v>
      </c>
      <c r="B307" s="241" t="s">
        <v>4690</v>
      </c>
    </row>
    <row r="308" spans="1:2" ht="16.5" customHeight="1">
      <c r="A308" s="241" t="s">
        <v>4691</v>
      </c>
      <c r="B308" s="241" t="s">
        <v>4692</v>
      </c>
    </row>
    <row r="309" spans="1:2" ht="16.5" customHeight="1">
      <c r="A309" s="15" t="s">
        <v>6484</v>
      </c>
      <c r="B309" s="239" t="s">
        <v>4693</v>
      </c>
    </row>
    <row r="310" spans="1:2" ht="16.5" customHeight="1">
      <c r="A310" s="15" t="s">
        <v>6485</v>
      </c>
      <c r="B310" s="239" t="s">
        <v>4695</v>
      </c>
    </row>
    <row r="311" spans="1:2" ht="16.5" customHeight="1">
      <c r="A311" s="15" t="s">
        <v>6486</v>
      </c>
      <c r="B311" s="441" t="s">
        <v>6477</v>
      </c>
    </row>
    <row r="312" spans="1:2" ht="16.5" customHeight="1">
      <c r="A312" s="15" t="s">
        <v>6487</v>
      </c>
      <c r="B312" s="441" t="s">
        <v>6478</v>
      </c>
    </row>
    <row r="313" spans="1:2" ht="16.5" customHeight="1">
      <c r="A313" s="15" t="s">
        <v>6488</v>
      </c>
      <c r="B313" s="441" t="s">
        <v>6479</v>
      </c>
    </row>
    <row r="314" spans="1:2" ht="16.5" customHeight="1">
      <c r="A314" s="15" t="s">
        <v>6489</v>
      </c>
      <c r="B314" s="441" t="s">
        <v>6480</v>
      </c>
    </row>
    <row r="315" spans="1:2" ht="16.5" customHeight="1">
      <c r="A315" s="15" t="s">
        <v>6490</v>
      </c>
      <c r="B315" s="441" t="s">
        <v>6481</v>
      </c>
    </row>
    <row r="316" spans="1:2" ht="16.5" customHeight="1">
      <c r="A316" s="15" t="s">
        <v>6491</v>
      </c>
      <c r="B316" s="441" t="s">
        <v>6482</v>
      </c>
    </row>
    <row r="317" spans="1:2" ht="16.5" customHeight="1">
      <c r="A317" s="15" t="s">
        <v>6492</v>
      </c>
      <c r="B317" s="441" t="s">
        <v>6483</v>
      </c>
    </row>
  </sheetData>
  <mergeCells count="24">
    <mergeCell ref="AC20:AD20"/>
    <mergeCell ref="AJ29:AK29"/>
    <mergeCell ref="AL29:AM29"/>
    <mergeCell ref="B29:C29"/>
    <mergeCell ref="D29:E29"/>
    <mergeCell ref="F29:G29"/>
    <mergeCell ref="H29:I29"/>
    <mergeCell ref="J29:K29"/>
    <mergeCell ref="BS1:BT1"/>
    <mergeCell ref="L29:M29"/>
    <mergeCell ref="N29:O29"/>
    <mergeCell ref="P29:Q29"/>
    <mergeCell ref="R29:S29"/>
    <mergeCell ref="T29:U29"/>
    <mergeCell ref="V29:W29"/>
    <mergeCell ref="X29:Y29"/>
    <mergeCell ref="AN29:AO29"/>
    <mergeCell ref="Z29:AA29"/>
    <mergeCell ref="AB29:AC29"/>
    <mergeCell ref="AD29:AE29"/>
    <mergeCell ref="AF29:AG29"/>
    <mergeCell ref="AH29:AI29"/>
    <mergeCell ref="AC1:AD1"/>
    <mergeCell ref="AC15:AD15"/>
  </mergeCells>
  <phoneticPr fontId="49" type="noConversion"/>
  <conditionalFormatting sqref="A188">
    <cfRule type="duplicateValues" dxfId="14" priority="11"/>
  </conditionalFormatting>
  <conditionalFormatting sqref="A189">
    <cfRule type="duplicateValues" dxfId="13" priority="10"/>
  </conditionalFormatting>
  <conditionalFormatting sqref="A190">
    <cfRule type="duplicateValues" dxfId="12" priority="9"/>
  </conditionalFormatting>
  <conditionalFormatting sqref="A191">
    <cfRule type="duplicateValues" dxfId="11" priority="8"/>
  </conditionalFormatting>
  <conditionalFormatting sqref="A192">
    <cfRule type="duplicateValues" dxfId="10" priority="2"/>
  </conditionalFormatting>
  <conditionalFormatting sqref="BG3:BG126">
    <cfRule type="duplicateValues" dxfId="9" priority="202"/>
  </conditionalFormatting>
  <conditionalFormatting sqref="BG127">
    <cfRule type="duplicateValues" dxfId="8" priority="106"/>
  </conditionalFormatting>
  <conditionalFormatting sqref="BG128">
    <cfRule type="duplicateValues" dxfId="7" priority="45"/>
  </conditionalFormatting>
  <conditionalFormatting sqref="BG129">
    <cfRule type="duplicateValues" dxfId="6" priority="44"/>
  </conditionalFormatting>
  <conditionalFormatting sqref="BG130">
    <cfRule type="duplicateValues" dxfId="5" priority="43"/>
  </conditionalFormatting>
  <conditionalFormatting sqref="BG131">
    <cfRule type="duplicateValues" dxfId="4" priority="42"/>
  </conditionalFormatting>
  <dataValidations count="1">
    <dataValidation allowBlank="1" showInputMessage="1" sqref="BR35:BR42 BU2:BU68" xr:uid="{00000000-0002-0000-0300-000000000000}"/>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B50"/>
  <sheetViews>
    <sheetView zoomScale="70" zoomScaleNormal="70" workbookViewId="0">
      <selection activeCell="Z7" sqref="Z7"/>
    </sheetView>
  </sheetViews>
  <sheetFormatPr defaultColWidth="9" defaultRowHeight="16.95" customHeight="1"/>
  <cols>
    <col min="1" max="21" width="9" style="15"/>
    <col min="22" max="22" width="10" style="15" bestFit="1" customWidth="1"/>
    <col min="23" max="23" width="9.77734375" style="15" bestFit="1" customWidth="1"/>
    <col min="24" max="26" width="9" style="15"/>
    <col min="27" max="27" width="10" style="15" bestFit="1" customWidth="1"/>
    <col min="28" max="16384" width="9" style="15"/>
  </cols>
  <sheetData>
    <row r="1" spans="1:28" ht="16.95" customHeight="1">
      <c r="A1" s="779" t="s">
        <v>1955</v>
      </c>
      <c r="B1" s="779"/>
      <c r="C1" s="779"/>
      <c r="D1" s="779"/>
      <c r="E1" s="779"/>
      <c r="F1" s="779"/>
      <c r="G1" s="779"/>
      <c r="J1" s="29" t="s">
        <v>81</v>
      </c>
      <c r="K1" s="29" t="s">
        <v>81</v>
      </c>
      <c r="L1" s="30" t="str">
        <f>""</f>
        <v/>
      </c>
      <c r="M1" s="31"/>
      <c r="N1" s="32" t="s">
        <v>76</v>
      </c>
      <c r="O1" s="32" t="s">
        <v>41</v>
      </c>
      <c r="P1" s="32" t="s">
        <v>171</v>
      </c>
      <c r="Q1" s="32" t="s">
        <v>3983</v>
      </c>
      <c r="R1" s="32" t="s">
        <v>78</v>
      </c>
      <c r="S1" s="32" t="s">
        <v>172</v>
      </c>
      <c r="T1" s="32" t="s">
        <v>173</v>
      </c>
      <c r="U1" s="15" t="s">
        <v>3972</v>
      </c>
      <c r="V1" s="15" t="s">
        <v>3973</v>
      </c>
      <c r="W1" s="15" t="s">
        <v>3974</v>
      </c>
      <c r="X1" s="15" t="s">
        <v>3983</v>
      </c>
      <c r="Y1" s="17" t="s">
        <v>4004</v>
      </c>
      <c r="Z1" s="769" t="s">
        <v>4716</v>
      </c>
      <c r="AA1" s="769"/>
      <c r="AB1" s="15" t="s">
        <v>5816</v>
      </c>
    </row>
    <row r="2" spans="1:28" ht="16.95" customHeight="1">
      <c r="A2" s="49" t="s">
        <v>3744</v>
      </c>
      <c r="B2" s="15" t="s">
        <v>74</v>
      </c>
      <c r="C2" s="15" t="s">
        <v>172</v>
      </c>
      <c r="D2" s="15" t="s">
        <v>1956</v>
      </c>
      <c r="E2" s="15" t="s">
        <v>48</v>
      </c>
      <c r="F2" s="15" t="s">
        <v>91</v>
      </c>
      <c r="G2" s="15" t="s">
        <v>1957</v>
      </c>
      <c r="J2" s="29" t="s">
        <v>177</v>
      </c>
      <c r="K2" s="29" t="s">
        <v>178</v>
      </c>
      <c r="L2" s="31" t="str">
        <f>""</f>
        <v/>
      </c>
      <c r="M2" s="31"/>
      <c r="N2" s="32" t="s">
        <v>5931</v>
      </c>
      <c r="O2" s="32" t="s">
        <v>5934</v>
      </c>
      <c r="P2" s="32" t="s">
        <v>5934</v>
      </c>
      <c r="Q2" s="32" t="s">
        <v>5934</v>
      </c>
      <c r="R2" s="32" t="s">
        <v>5934</v>
      </c>
      <c r="S2" s="32" t="s">
        <v>5934</v>
      </c>
      <c r="T2" s="32" t="s">
        <v>5934</v>
      </c>
      <c r="U2" s="15" t="str">
        <f>IF(ISBLANK(主要!B32),"-",主要!B32)</f>
        <v>-</v>
      </c>
      <c r="V2" s="15" t="str">
        <f>VLOOKUP(U2,N2:P50,2,0)</f>
        <v xml:space="preserve"> </v>
      </c>
      <c r="W2" s="15" t="str">
        <f>VLOOKUP(U2,N2:P50,3,0)</f>
        <v xml:space="preserve"> </v>
      </c>
      <c r="X2" s="15" t="str">
        <f>VLOOKUP(U2,N2:Q50,4,0)</f>
        <v xml:space="preserve"> </v>
      </c>
      <c r="Y2" s="17" t="str">
        <f>IF(U2="-","",CONCATENATE("+",SUM(AA2+IF(主要!W32="O",主要!$S$3,0)+主要!L32)))</f>
        <v/>
      </c>
      <c r="Z2" s="15" t="str">
        <f>IF(主要!AA30="默认",VLOOKUP(U2,N2:T50,7,0),主要!AA30)</f>
        <v xml:space="preserve"> </v>
      </c>
      <c r="AA2" s="15" t="str">
        <f>IF(U2="-","",VLOOKUP(Z2,主要!C13:S18,16,0))</f>
        <v/>
      </c>
      <c r="AB2" s="15" t="str">
        <f>IF(AA2="","",IF(AA2&gt;=0,CONCATENATE("+",AA2),AA2))</f>
        <v/>
      </c>
    </row>
    <row r="3" spans="1:28" ht="16.95" customHeight="1">
      <c r="A3" s="779" t="s">
        <v>533</v>
      </c>
      <c r="B3" s="15" t="s">
        <v>314</v>
      </c>
      <c r="C3" s="15" t="s">
        <v>214</v>
      </c>
      <c r="D3" s="15" t="s">
        <v>1958</v>
      </c>
      <c r="E3" s="15" t="s">
        <v>374</v>
      </c>
      <c r="F3" s="15" t="s">
        <v>71</v>
      </c>
      <c r="G3" s="15">
        <v>8</v>
      </c>
      <c r="J3" s="29" t="s">
        <v>181</v>
      </c>
      <c r="K3" s="29" t="s">
        <v>182</v>
      </c>
      <c r="L3" s="17"/>
      <c r="M3" s="29"/>
      <c r="N3" s="272" t="s">
        <v>5932</v>
      </c>
      <c r="O3" s="18" t="s">
        <v>3992</v>
      </c>
      <c r="P3" s="272">
        <v>1</v>
      </c>
      <c r="Q3" s="272" t="s">
        <v>3987</v>
      </c>
      <c r="R3" s="18" t="s">
        <v>3992</v>
      </c>
      <c r="S3" s="18" t="s">
        <v>3992</v>
      </c>
      <c r="T3" s="18" t="s">
        <v>5933</v>
      </c>
      <c r="U3" s="15" t="str">
        <f>IF(ISBLANK(主要!B33),"-",主要!B33)</f>
        <v>-</v>
      </c>
      <c r="V3" s="15" t="str">
        <f>VLOOKUP(U3,N2:P50,2,0)</f>
        <v xml:space="preserve"> </v>
      </c>
      <c r="W3" s="15" t="str">
        <f>VLOOKUP(U3,N2:P50,3,0)</f>
        <v xml:space="preserve"> </v>
      </c>
      <c r="X3" s="15" t="str">
        <f>VLOOKUP(U3,N2:Q50,4,0)</f>
        <v xml:space="preserve"> </v>
      </c>
      <c r="Y3" s="17" t="str">
        <f>IF(U3="-","",CONCATENATE("+",SUM(AA3+IF(主要!W33="O",主要!$S$3,0)+主要!L33)))</f>
        <v/>
      </c>
      <c r="Z3" s="15" t="str">
        <f>IF(主要!AA30="默认",VLOOKUP(U3,N2:T50,7,0),主要!AA30)</f>
        <v xml:space="preserve"> </v>
      </c>
      <c r="AA3" s="15" t="str">
        <f>IF(U3="-","",VLOOKUP(Z3,主要!C13:S18,16,0))</f>
        <v/>
      </c>
      <c r="AB3" s="15" t="str">
        <f t="shared" ref="AB3:AB6" si="0">IF(AA3="","",IF(AA3&gt;=0,CONCATENATE("+",AA3),AA3))</f>
        <v/>
      </c>
    </row>
    <row r="4" spans="1:28" ht="16.95" customHeight="1">
      <c r="A4" s="779"/>
      <c r="B4" s="15" t="s">
        <v>319</v>
      </c>
      <c r="C4" s="15" t="s">
        <v>277</v>
      </c>
      <c r="D4" s="15" t="s">
        <v>1958</v>
      </c>
      <c r="E4" s="15" t="s">
        <v>374</v>
      </c>
      <c r="F4" s="15" t="s">
        <v>374</v>
      </c>
      <c r="G4" s="15">
        <v>10</v>
      </c>
      <c r="J4" s="29" t="s">
        <v>198</v>
      </c>
      <c r="K4" s="29" t="s">
        <v>199</v>
      </c>
      <c r="L4" s="17"/>
      <c r="M4" s="784" t="s">
        <v>183</v>
      </c>
      <c r="N4" s="34" t="s">
        <v>184</v>
      </c>
      <c r="O4" s="34" t="s">
        <v>178</v>
      </c>
      <c r="P4" s="34" t="s">
        <v>3984</v>
      </c>
      <c r="Q4" s="34" t="s">
        <v>3987</v>
      </c>
      <c r="R4" s="34" t="s">
        <v>185</v>
      </c>
      <c r="S4" s="34" t="s">
        <v>186</v>
      </c>
      <c r="T4" s="33" t="s">
        <v>48</v>
      </c>
      <c r="U4" s="460" t="str">
        <f>IF(ISBLANK(主要!B34),"-",主要!B34)</f>
        <v>-</v>
      </c>
      <c r="V4" s="461" t="str">
        <f>VLOOKUP(U4,N2:P50,2,0)</f>
        <v xml:space="preserve"> </v>
      </c>
      <c r="W4" s="461" t="str">
        <f>VLOOKUP(U4,N2:P50,3,0)</f>
        <v xml:space="preserve"> </v>
      </c>
      <c r="X4" s="461" t="str">
        <f>VLOOKUP(U4,N2:Q50,4,0)</f>
        <v xml:space="preserve"> </v>
      </c>
      <c r="Y4" s="462" t="str">
        <f>IF(U4="-","",CONCATENATE("+",SUM(AA4+IF(主要!W34="O",主要!$S$3,0)+主要!L34)))</f>
        <v/>
      </c>
      <c r="Z4" s="461" t="str">
        <f>IF(主要!AA30="默认",VLOOKUP(U4,N2:T50,7,0),主要!AA30)</f>
        <v xml:space="preserve"> </v>
      </c>
      <c r="AA4" s="461" t="str">
        <f>IF(U4="-","",VLOOKUP(Z4,主要!C13:S18,16,0))</f>
        <v/>
      </c>
      <c r="AB4" s="461" t="str">
        <f t="shared" si="0"/>
        <v/>
      </c>
    </row>
    <row r="5" spans="1:28" ht="16.95" customHeight="1">
      <c r="A5" s="779"/>
      <c r="B5" s="15" t="s">
        <v>325</v>
      </c>
      <c r="C5" s="15" t="s">
        <v>1959</v>
      </c>
      <c r="D5" s="15" t="s">
        <v>1960</v>
      </c>
      <c r="E5" s="15" t="s">
        <v>374</v>
      </c>
      <c r="F5" s="15" t="s">
        <v>374</v>
      </c>
      <c r="G5" s="15">
        <v>13</v>
      </c>
      <c r="J5" s="29" t="s">
        <v>204</v>
      </c>
      <c r="K5" s="29" t="s">
        <v>79</v>
      </c>
      <c r="L5" s="17"/>
      <c r="M5" s="784"/>
      <c r="N5" s="34" t="s">
        <v>200</v>
      </c>
      <c r="O5" s="34" t="s">
        <v>4003</v>
      </c>
      <c r="P5" s="34" t="s">
        <v>3984</v>
      </c>
      <c r="Q5" s="34" t="s">
        <v>3988</v>
      </c>
      <c r="R5" s="34" t="s">
        <v>201</v>
      </c>
      <c r="S5" s="34" t="s">
        <v>202</v>
      </c>
      <c r="T5" s="33" t="str">
        <f>IF(主要!R13&gt;=主要!R14,"力量","敏捷")</f>
        <v>力量</v>
      </c>
      <c r="U5" s="15" t="str">
        <f>IF(ISBLANK(主要!B35),"-",主要!B35)</f>
        <v>-</v>
      </c>
      <c r="V5" s="15" t="str">
        <f>VLOOKUP(U5,N2:P50,2,0)</f>
        <v xml:space="preserve"> </v>
      </c>
      <c r="W5" s="15" t="str">
        <f>VLOOKUP(U5,N2:P50,3,0)</f>
        <v xml:space="preserve"> </v>
      </c>
      <c r="X5" s="15" t="str">
        <f>VLOOKUP(U5,N2:Q50,4,0)</f>
        <v xml:space="preserve"> </v>
      </c>
      <c r="Y5" s="17" t="str">
        <f>IF(U5="-","",CONCATENATE("+",SUM(AA5+IF(主要!W35="O",主要!$S$3,0)+主要!L35)))</f>
        <v/>
      </c>
      <c r="Z5" s="15" t="str">
        <f>IFERROR(VLOOKUP(U5,N2:T50,7,0),"")</f>
        <v xml:space="preserve"> </v>
      </c>
      <c r="AA5" s="15" t="str">
        <f>IF(U5="-","",VLOOKUP(Z5,主要!C13:S18,16,0))</f>
        <v/>
      </c>
      <c r="AB5" s="15" t="str">
        <f t="shared" si="0"/>
        <v/>
      </c>
    </row>
    <row r="6" spans="1:28" ht="16.95" customHeight="1">
      <c r="A6" s="779" t="s">
        <v>1961</v>
      </c>
      <c r="B6" s="15" t="s">
        <v>315</v>
      </c>
      <c r="C6" s="15" t="s">
        <v>277</v>
      </c>
      <c r="D6" s="15" t="s">
        <v>1962</v>
      </c>
      <c r="E6" s="15" t="s">
        <v>374</v>
      </c>
      <c r="F6" s="15" t="s">
        <v>374</v>
      </c>
      <c r="G6" s="15">
        <v>12</v>
      </c>
      <c r="J6" s="29" t="s">
        <v>210</v>
      </c>
      <c r="K6" s="18" t="s">
        <v>211</v>
      </c>
      <c r="L6" s="17"/>
      <c r="M6" s="784"/>
      <c r="N6" s="34" t="s">
        <v>205</v>
      </c>
      <c r="O6" s="34" t="s">
        <v>206</v>
      </c>
      <c r="P6" s="34" t="s">
        <v>3985</v>
      </c>
      <c r="Q6" s="34" t="s">
        <v>3987</v>
      </c>
      <c r="R6" s="34" t="s">
        <v>207</v>
      </c>
      <c r="S6" s="34" t="s">
        <v>208</v>
      </c>
      <c r="T6" s="33" t="s">
        <v>48</v>
      </c>
      <c r="U6" s="15" t="str">
        <f>IF(ISBLANK(主要!B36),"-",主要!B36)</f>
        <v>-</v>
      </c>
      <c r="V6" s="15" t="str">
        <f>VLOOKUP(U6,N2:P50,2,0)</f>
        <v xml:space="preserve"> </v>
      </c>
      <c r="W6" s="15" t="str">
        <f>VLOOKUP(U6,N2:P50,3,0)</f>
        <v xml:space="preserve"> </v>
      </c>
      <c r="X6" s="15" t="str">
        <f>VLOOKUP(U6,N2:Q50,4,0)</f>
        <v xml:space="preserve"> </v>
      </c>
      <c r="Y6" s="17" t="str">
        <f>IF(U6="-","",CONCATENATE("+",SUM(AA6+IF(主要!W36="O",主要!$S$3,0)+主要!L36)))</f>
        <v/>
      </c>
      <c r="Z6" s="15" t="str">
        <f>IFERROR(VLOOKUP(U6,N2:T50,7,0),"")</f>
        <v xml:space="preserve"> </v>
      </c>
      <c r="AA6" s="15" t="str">
        <f>IF(U6="-","",VLOOKUP(Z6,主要!C13:S18,16,0))</f>
        <v/>
      </c>
      <c r="AB6" s="15" t="str">
        <f t="shared" si="0"/>
        <v/>
      </c>
    </row>
    <row r="7" spans="1:28" ht="16.95" customHeight="1">
      <c r="A7" s="779"/>
      <c r="B7" s="15" t="s">
        <v>320</v>
      </c>
      <c r="C7" s="15" t="s">
        <v>293</v>
      </c>
      <c r="D7" s="15" t="s">
        <v>1963</v>
      </c>
      <c r="E7" s="15" t="s">
        <v>374</v>
      </c>
      <c r="F7" s="15" t="s">
        <v>374</v>
      </c>
      <c r="G7" s="15">
        <v>20</v>
      </c>
      <c r="J7" s="18" t="s">
        <v>216</v>
      </c>
      <c r="K7" s="18" t="s">
        <v>217</v>
      </c>
      <c r="L7" s="17"/>
      <c r="M7" s="784"/>
      <c r="N7" s="34" t="s">
        <v>212</v>
      </c>
      <c r="O7" s="34" t="s">
        <v>213</v>
      </c>
      <c r="P7" s="34" t="s">
        <v>3986</v>
      </c>
      <c r="Q7" s="34" t="s">
        <v>3989</v>
      </c>
      <c r="R7" s="34" t="s">
        <v>185</v>
      </c>
      <c r="S7" s="34" t="s">
        <v>214</v>
      </c>
      <c r="T7" s="33" t="s">
        <v>48</v>
      </c>
      <c r="Y7" s="17"/>
    </row>
    <row r="8" spans="1:28" ht="16.95" customHeight="1">
      <c r="A8" s="779"/>
      <c r="B8" s="15" t="s">
        <v>326</v>
      </c>
      <c r="C8" s="15" t="s">
        <v>293</v>
      </c>
      <c r="D8" s="15" t="s">
        <v>1964</v>
      </c>
      <c r="E8" s="15" t="s">
        <v>374</v>
      </c>
      <c r="F8" s="15" t="s">
        <v>71</v>
      </c>
      <c r="G8" s="15">
        <v>45</v>
      </c>
      <c r="J8" s="18" t="s">
        <v>222</v>
      </c>
      <c r="K8" s="18" t="s">
        <v>223</v>
      </c>
      <c r="L8" s="17"/>
      <c r="M8" s="784"/>
      <c r="N8" s="34" t="s">
        <v>218</v>
      </c>
      <c r="O8" s="34" t="s">
        <v>219</v>
      </c>
      <c r="P8" s="34" t="s">
        <v>3986</v>
      </c>
      <c r="Q8" s="34" t="s">
        <v>3988</v>
      </c>
      <c r="R8" s="34" t="s">
        <v>185</v>
      </c>
      <c r="S8" s="34" t="s">
        <v>220</v>
      </c>
      <c r="T8" s="33" t="s">
        <v>48</v>
      </c>
      <c r="V8" s="17"/>
    </row>
    <row r="9" spans="1:28" ht="16.95" customHeight="1">
      <c r="A9" s="779"/>
      <c r="B9" s="15" t="s">
        <v>331</v>
      </c>
      <c r="C9" s="15" t="s">
        <v>1966</v>
      </c>
      <c r="D9" s="15" t="s">
        <v>1964</v>
      </c>
      <c r="E9" s="15" t="s">
        <v>374</v>
      </c>
      <c r="F9" s="15" t="s">
        <v>374</v>
      </c>
      <c r="G9" s="15">
        <v>20</v>
      </c>
      <c r="J9" s="18" t="s">
        <v>226</v>
      </c>
      <c r="K9" s="18" t="s">
        <v>227</v>
      </c>
      <c r="L9" s="17"/>
      <c r="M9" s="784"/>
      <c r="N9" s="34" t="s">
        <v>224</v>
      </c>
      <c r="O9" s="34" t="s">
        <v>213</v>
      </c>
      <c r="P9" s="34" t="s">
        <v>3984</v>
      </c>
      <c r="Q9" s="34" t="s">
        <v>3987</v>
      </c>
      <c r="R9" s="34" t="s">
        <v>185</v>
      </c>
      <c r="S9" s="34" t="s">
        <v>202</v>
      </c>
      <c r="T9" s="33" t="s">
        <v>48</v>
      </c>
      <c r="V9" s="17"/>
    </row>
    <row r="10" spans="1:28" ht="16.95" customHeight="1">
      <c r="A10" s="779"/>
      <c r="B10" s="15" t="s">
        <v>338</v>
      </c>
      <c r="C10" s="15" t="s">
        <v>1968</v>
      </c>
      <c r="D10" s="15" t="s">
        <v>1969</v>
      </c>
      <c r="E10" s="15" t="s">
        <v>374</v>
      </c>
      <c r="F10" s="15" t="s">
        <v>71</v>
      </c>
      <c r="G10" s="15">
        <v>40</v>
      </c>
      <c r="J10" s="18" t="s">
        <v>231</v>
      </c>
      <c r="K10" s="18" t="s">
        <v>232</v>
      </c>
      <c r="L10" s="17"/>
      <c r="M10" s="784"/>
      <c r="N10" s="34" t="s">
        <v>228</v>
      </c>
      <c r="O10" s="34" t="s">
        <v>81</v>
      </c>
      <c r="P10" s="34" t="s">
        <v>3986</v>
      </c>
      <c r="Q10" s="34" t="s">
        <v>3987</v>
      </c>
      <c r="R10" s="34" t="s">
        <v>229</v>
      </c>
      <c r="S10" s="34" t="s">
        <v>214</v>
      </c>
      <c r="T10" s="33" t="s">
        <v>48</v>
      </c>
      <c r="V10" s="17"/>
    </row>
    <row r="11" spans="1:28" ht="16.95" customHeight="1">
      <c r="A11" s="779" t="s">
        <v>1971</v>
      </c>
      <c r="B11" s="15" t="s">
        <v>316</v>
      </c>
      <c r="C11" s="15" t="s">
        <v>291</v>
      </c>
      <c r="D11" s="15">
        <v>14</v>
      </c>
      <c r="E11" s="15" t="s">
        <v>374</v>
      </c>
      <c r="F11" s="15" t="s">
        <v>71</v>
      </c>
      <c r="G11" s="15">
        <v>40</v>
      </c>
      <c r="J11" s="18" t="s">
        <v>237</v>
      </c>
      <c r="K11" s="18" t="s">
        <v>238</v>
      </c>
      <c r="L11" s="17"/>
      <c r="M11" s="784"/>
      <c r="N11" s="34" t="s">
        <v>233</v>
      </c>
      <c r="O11" s="34" t="s">
        <v>234</v>
      </c>
      <c r="P11" s="34" t="s">
        <v>3986</v>
      </c>
      <c r="Q11" s="34" t="s">
        <v>3987</v>
      </c>
      <c r="R11" s="34" t="s">
        <v>229</v>
      </c>
      <c r="S11" s="34" t="s">
        <v>208</v>
      </c>
      <c r="T11" s="33" t="s">
        <v>48</v>
      </c>
      <c r="U11" s="17" t="s">
        <v>350</v>
      </c>
      <c r="V11" s="17" t="s">
        <v>351</v>
      </c>
      <c r="Y11" s="17"/>
    </row>
    <row r="12" spans="1:28" ht="16.95" customHeight="1">
      <c r="A12" s="779"/>
      <c r="B12" s="15" t="s">
        <v>321</v>
      </c>
      <c r="C12" s="15" t="s">
        <v>330</v>
      </c>
      <c r="D12" s="15">
        <v>16</v>
      </c>
      <c r="E12" s="15" t="s">
        <v>1973</v>
      </c>
      <c r="F12" s="15" t="s">
        <v>71</v>
      </c>
      <c r="G12" s="15">
        <v>55</v>
      </c>
      <c r="J12" s="18" t="s">
        <v>242</v>
      </c>
      <c r="K12" s="18" t="s">
        <v>243</v>
      </c>
      <c r="L12" s="17"/>
      <c r="M12" s="784"/>
      <c r="N12" s="34" t="s">
        <v>239</v>
      </c>
      <c r="O12" s="34" t="s">
        <v>178</v>
      </c>
      <c r="P12" s="34" t="s">
        <v>3984</v>
      </c>
      <c r="Q12" s="34" t="s">
        <v>3989</v>
      </c>
      <c r="R12" s="34" t="s">
        <v>185</v>
      </c>
      <c r="S12" s="34" t="s">
        <v>240</v>
      </c>
      <c r="T12" s="33" t="s">
        <v>48</v>
      </c>
      <c r="U12" s="29" t="str">
        <f>IFERROR(CONCATENATE(IF(主要!K43=TRUE,IF(主要!L32&lt;&gt;0,主要!L32,0)+主要!S3,IF(主要!L32&lt;&gt;0,主要!L32,"")),IF(VLOOKUP(VLOOKUP(主要!B32,装备!N1:T50,7,FALSE),主要!C13:L18,7,FALSE)&lt;0,"",(IF(主要!K43=TRUE,"+",IF(主要!L32&lt;&gt;0,"+","")))),VLOOKUP(VLOOKUP(主要!B32,装备!N1:T50,7,FALSE),主要!C13:U18,16,FALSE)),"")</f>
        <v/>
      </c>
      <c r="V12" s="29" t="str">
        <f>IFERROR(IF(主要!AB32="","",CONCATENATE(IF(VLOOKUP(VLOOKUP(主要!B32,装备!N1:T50,7,FALSE),主要!C13:L18,7,FALSE)&lt;0,"","+"),VLOOKUP(VLOOKUP(主要!B32,装备!N1:T50,7,FALSE),主要!C13:U18,16,FALSE))),"")</f>
        <v/>
      </c>
      <c r="Y12" s="17"/>
    </row>
    <row r="13" spans="1:28" ht="16.95" customHeight="1">
      <c r="A13" s="779"/>
      <c r="B13" s="15" t="s">
        <v>327</v>
      </c>
      <c r="C13" s="15" t="s">
        <v>1974</v>
      </c>
      <c r="D13" s="15">
        <v>17</v>
      </c>
      <c r="E13" s="15" t="s">
        <v>1975</v>
      </c>
      <c r="F13" s="15" t="s">
        <v>71</v>
      </c>
      <c r="G13" s="15">
        <v>60</v>
      </c>
      <c r="J13" s="36" t="s">
        <v>247</v>
      </c>
      <c r="K13" s="18" t="s">
        <v>248</v>
      </c>
      <c r="L13" s="37" t="s">
        <v>81</v>
      </c>
      <c r="M13" s="784"/>
      <c r="N13" s="34" t="s">
        <v>244</v>
      </c>
      <c r="O13" s="34" t="s">
        <v>245</v>
      </c>
      <c r="P13" s="34" t="s">
        <v>3986</v>
      </c>
      <c r="Q13" s="34" t="s">
        <v>3988</v>
      </c>
      <c r="R13" s="34" t="s">
        <v>246</v>
      </c>
      <c r="S13" s="34" t="s">
        <v>240</v>
      </c>
      <c r="T13" s="33" t="s">
        <v>48</v>
      </c>
      <c r="U13" s="29" t="str">
        <f>IFERROR(CONCATENATE(IF(主要!K44=TRUE,IF(主要!L33&lt;&gt;0,主要!L33,0)+主要!S3,IF(主要!L33&lt;&gt;0,主要!L33,"")),IF(VLOOKUP(VLOOKUP(主要!B33,装备!N1:T50,7,FALSE),主要!C13:L18,7,FALSE)&lt;0,"",(IF(主要!K44=TRUE,"+",IF(主要!L33&lt;&gt;0,"+","")))),VLOOKUP(VLOOKUP(主要!B33,装备!N1:T50,7,FALSE),主要!C13:U18,16,FALSE)),"")</f>
        <v/>
      </c>
      <c r="V13" s="29" t="str">
        <f>IFERROR(IF(主要!AB33="","",CONCATENATE(IF(VLOOKUP(VLOOKUP(主要!B33,装备!N1:T50,7,FALSE),主要!C13:L18,7,FALSE)&lt;0,"","+"),VLOOKUP(VLOOKUP(主要!B33,装备!N1:T50,7,FALSE),主要!C13:U18,16,FALSE))),"")</f>
        <v/>
      </c>
      <c r="Y13" s="17"/>
    </row>
    <row r="14" spans="1:28" ht="16.95" customHeight="1">
      <c r="A14" s="779"/>
      <c r="B14" s="15" t="s">
        <v>332</v>
      </c>
      <c r="C14" s="15" t="s">
        <v>1976</v>
      </c>
      <c r="D14" s="15">
        <v>18</v>
      </c>
      <c r="E14" s="15" t="s">
        <v>1975</v>
      </c>
      <c r="F14" s="15" t="s">
        <v>71</v>
      </c>
      <c r="G14" s="15">
        <v>65</v>
      </c>
      <c r="J14" s="36" t="s">
        <v>255</v>
      </c>
      <c r="K14" s="18" t="s">
        <v>6465</v>
      </c>
      <c r="L14" s="37" t="s">
        <v>256</v>
      </c>
      <c r="M14" s="785" t="s">
        <v>249</v>
      </c>
      <c r="N14" s="39" t="s">
        <v>250</v>
      </c>
      <c r="O14" s="39" t="s">
        <v>251</v>
      </c>
      <c r="P14" s="39" t="s">
        <v>3985</v>
      </c>
      <c r="Q14" s="39" t="s">
        <v>3988</v>
      </c>
      <c r="R14" s="39" t="s">
        <v>252</v>
      </c>
      <c r="S14" s="39" t="s">
        <v>253</v>
      </c>
      <c r="T14" s="38" t="s">
        <v>50</v>
      </c>
      <c r="U14" s="29" t="str">
        <f>IFERROR(CONCATENATE(IF(主要!K45=TRUE,IF(主要!L34&lt;&gt;0,主要!L34,0)+主要!S3,IF(主要!L34&lt;&gt;0,主要!L34,"")),IF(VLOOKUP(VLOOKUP(主要!B34,装备!N1:T50,7,FALSE),主要!C13:L18,7,FALSE)&lt;0,"",(IF(主要!K45=TRUE,"+",IF(主要!L34&lt;&gt;0,"+","")))),VLOOKUP(VLOOKUP(主要!B34,装备!N1:T50,7,FALSE),主要!C13:U18,16,FALSE)),"")</f>
        <v/>
      </c>
      <c r="V14" s="29" t="str">
        <f>IFERROR(IF(主要!AB34="","",CONCATENATE(IF(VLOOKUP(VLOOKUP(主要!B34,装备!N1:T50,7,FALSE),主要!C13:L18,7,FALSE)&lt;0,"","+"),VLOOKUP(VLOOKUP(主要!B34,装备!N1:T50,7,FALSE),主要!C13:U18,16,FALSE))),"")</f>
        <v/>
      </c>
      <c r="Y14" s="17"/>
    </row>
    <row r="15" spans="1:28" ht="16.95" customHeight="1">
      <c r="A15" s="15" t="s">
        <v>79</v>
      </c>
      <c r="B15" s="15" t="s">
        <v>79</v>
      </c>
      <c r="C15" s="15" t="s">
        <v>277</v>
      </c>
      <c r="D15" s="15">
        <v>2</v>
      </c>
      <c r="E15" s="15" t="s">
        <v>374</v>
      </c>
      <c r="F15" s="15" t="s">
        <v>374</v>
      </c>
      <c r="G15" s="15">
        <v>6</v>
      </c>
      <c r="J15" s="36" t="s">
        <v>264</v>
      </c>
      <c r="K15" s="18" t="s">
        <v>265</v>
      </c>
      <c r="L15" s="17"/>
      <c r="M15" s="785"/>
      <c r="N15" s="39" t="s">
        <v>257</v>
      </c>
      <c r="O15" s="39" t="s">
        <v>258</v>
      </c>
      <c r="P15" s="39" t="s">
        <v>3984</v>
      </c>
      <c r="Q15" s="39" t="s">
        <v>3988</v>
      </c>
      <c r="R15" s="39" t="s">
        <v>259</v>
      </c>
      <c r="S15" s="39" t="s">
        <v>260</v>
      </c>
      <c r="T15" s="38" t="str">
        <f>IF(主要!R13&gt;=主要!R14,"力量","敏捷")</f>
        <v>力量</v>
      </c>
      <c r="U15" s="29" t="str">
        <f>IFERROR(CONCATENATE(IF(主要!K46=TRUE,IF(主要!L35&lt;&gt;0,主要!L35,0)+主要!S3,IF(主要!L35&lt;&gt;0,主要!L35,"")),IF(VLOOKUP(VLOOKUP(主要!B35,装备!N1:T50,7,FALSE),主要!C13:L18,7,FALSE)&lt;0,"",(IF(主要!K46=TRUE,"+",IF(主要!L35&lt;&gt;0,"+","")))),VLOOKUP(VLOOKUP(主要!B35,装备!N1:T50,7,FALSE),主要!C13:U18,16,FALSE)),"")</f>
        <v/>
      </c>
      <c r="V15" s="29" t="str">
        <f>IFERROR(IF(主要!AB35="","",CONCATENATE(IF(VLOOKUP(VLOOKUP(主要!B35,装备!N1:T50,7,FALSE),主要!C13:L18,7,FALSE)&lt;0,"","+"),VLOOKUP(VLOOKUP(主要!B35,装备!N1:T50,7,FALSE),主要!C13:U18,16,FALSE))),"")</f>
        <v/>
      </c>
      <c r="Y15" s="17"/>
    </row>
    <row r="16" spans="1:28" ht="16.95" customHeight="1">
      <c r="J16" s="36" t="s">
        <v>269</v>
      </c>
      <c r="K16" s="18" t="s">
        <v>3995</v>
      </c>
      <c r="L16" s="17"/>
      <c r="M16" s="785"/>
      <c r="N16" s="39" t="s">
        <v>266</v>
      </c>
      <c r="O16" s="39" t="s">
        <v>267</v>
      </c>
      <c r="P16" s="39" t="s">
        <v>3986</v>
      </c>
      <c r="Q16" s="39" t="s">
        <v>3988</v>
      </c>
      <c r="R16" s="39" t="s">
        <v>185</v>
      </c>
      <c r="S16" s="39" t="s">
        <v>253</v>
      </c>
      <c r="T16" s="38" t="s">
        <v>50</v>
      </c>
      <c r="U16" s="29" t="str">
        <f>IFERROR(CONCATENATE(IF(主要!K47=TRUE,IF(主要!L36&lt;&gt;0,主要!L36,0)+主要!S3,IF(主要!L36&lt;&gt;0,主要!L36,"")),IF(VLOOKUP(VLOOKUP(主要!B36,装备!N1:T50,7,FALSE),主要!C13:L18,7,FALSE)&lt;0,"",(IF(主要!K47=TRUE,"+",IF(主要!L36&lt;&gt;0,"+","")))),VLOOKUP(VLOOKUP(主要!B36,装备!N1:T50,7,FALSE),主要!C13:U18,16,FALSE)),"")</f>
        <v/>
      </c>
      <c r="V16" s="29" t="str">
        <f>IFERROR(IF(主要!AB36="","",CONCATENATE(IF(VLOOKUP(VLOOKUP(主要!B36,装备!N1:T50,7,FALSE),主要!C13:L18,7,FALSE)&lt;0,"","+"),VLOOKUP(VLOOKUP(主要!B36,装备!N1:T50,7,FALSE),主要!C13:U18,16,FALSE))),"")</f>
        <v/>
      </c>
      <c r="Y16" s="17"/>
      <c r="Z16" s="17"/>
      <c r="AA16" s="17"/>
    </row>
    <row r="17" spans="1:28" ht="16.95" customHeight="1">
      <c r="A17" s="780" t="s">
        <v>1977</v>
      </c>
      <c r="B17" s="780"/>
      <c r="C17" s="16" t="s">
        <v>1978</v>
      </c>
      <c r="D17" s="16" t="s">
        <v>1979</v>
      </c>
      <c r="E17" s="15" t="s">
        <v>1980</v>
      </c>
      <c r="F17" s="15">
        <f>SUM(F18:F22)</f>
        <v>0</v>
      </c>
      <c r="J17" s="36" t="s">
        <v>272</v>
      </c>
      <c r="K17" s="18" t="s">
        <v>273</v>
      </c>
      <c r="L17" s="17"/>
      <c r="M17" s="785"/>
      <c r="N17" s="39" t="s">
        <v>270</v>
      </c>
      <c r="O17" s="39" t="s">
        <v>271</v>
      </c>
      <c r="P17" s="39" t="s">
        <v>3984</v>
      </c>
      <c r="Q17" s="39" t="s">
        <v>3987</v>
      </c>
      <c r="R17" s="39" t="s">
        <v>81</v>
      </c>
      <c r="S17" s="39" t="s">
        <v>186</v>
      </c>
      <c r="T17" s="38" t="s">
        <v>50</v>
      </c>
      <c r="Y17" s="17"/>
      <c r="Z17" s="17"/>
      <c r="AA17" s="17"/>
    </row>
    <row r="18" spans="1:28" ht="16.95" customHeight="1">
      <c r="A18" s="16" t="s">
        <v>88</v>
      </c>
      <c r="B18" s="16" t="s">
        <v>1965</v>
      </c>
      <c r="C18" s="16">
        <v>1</v>
      </c>
      <c r="D18" s="15">
        <v>20</v>
      </c>
      <c r="E18" s="15">
        <f>IFERROR(INT(主要!#REF!/D18),0)</f>
        <v>0</v>
      </c>
      <c r="F18" s="16">
        <f>INT(C18*E18)</f>
        <v>0</v>
      </c>
      <c r="J18" s="36" t="s">
        <v>279</v>
      </c>
      <c r="K18" s="18" t="s">
        <v>280</v>
      </c>
      <c r="L18" s="17"/>
      <c r="M18" s="786" t="s">
        <v>274</v>
      </c>
      <c r="N18" s="34" t="s">
        <v>275</v>
      </c>
      <c r="O18" s="34" t="s">
        <v>276</v>
      </c>
      <c r="P18" s="34" t="s">
        <v>3985</v>
      </c>
      <c r="Q18" s="34" t="s">
        <v>3989</v>
      </c>
      <c r="R18" s="34" t="s">
        <v>229</v>
      </c>
      <c r="S18" s="34" t="s">
        <v>277</v>
      </c>
      <c r="T18" s="33" t="s">
        <v>48</v>
      </c>
      <c r="U18" s="2" t="s">
        <v>79</v>
      </c>
      <c r="Y18" s="17"/>
      <c r="Z18" s="17"/>
      <c r="AA18" s="17"/>
    </row>
    <row r="19" spans="1:28" ht="16.95" customHeight="1">
      <c r="A19" s="16" t="s">
        <v>90</v>
      </c>
      <c r="B19" s="16" t="s">
        <v>1970</v>
      </c>
      <c r="C19" s="16">
        <v>0.5</v>
      </c>
      <c r="D19" s="15">
        <v>20</v>
      </c>
      <c r="E19" s="15">
        <f>IFERROR(INT(主要!#REF!/D19),0)</f>
        <v>0</v>
      </c>
      <c r="F19" s="16">
        <f>INT(C19*E19)</f>
        <v>0</v>
      </c>
      <c r="J19" s="18" t="s">
        <v>282</v>
      </c>
      <c r="K19" s="17"/>
      <c r="L19" s="17"/>
      <c r="M19" s="787"/>
      <c r="N19" s="34" t="s">
        <v>281</v>
      </c>
      <c r="O19" s="34" t="s">
        <v>81</v>
      </c>
      <c r="P19" s="34" t="s">
        <v>3985</v>
      </c>
      <c r="Q19" s="34" t="s">
        <v>3987</v>
      </c>
      <c r="R19" s="34" t="s">
        <v>185</v>
      </c>
      <c r="S19" s="34" t="s">
        <v>277</v>
      </c>
      <c r="T19" s="33" t="s">
        <v>48</v>
      </c>
      <c r="U19" s="2" t="b">
        <v>0</v>
      </c>
      <c r="Y19" s="17"/>
      <c r="Z19" s="17"/>
      <c r="AA19" s="17"/>
    </row>
    <row r="20" spans="1:28" ht="16.95" customHeight="1">
      <c r="A20" s="16" t="s">
        <v>92</v>
      </c>
      <c r="B20" s="16" t="s">
        <v>1981</v>
      </c>
      <c r="C20" s="16"/>
      <c r="E20" s="15">
        <f>IFERROR(INT(主要!#REF!/D20),0)</f>
        <v>0</v>
      </c>
      <c r="F20" s="16">
        <f>INT(C20*E20)</f>
        <v>0</v>
      </c>
      <c r="J20" s="18" t="s">
        <v>287</v>
      </c>
      <c r="K20" s="17"/>
      <c r="L20" s="17"/>
      <c r="M20" s="787"/>
      <c r="N20" s="34" t="s">
        <v>283</v>
      </c>
      <c r="O20" s="34" t="s">
        <v>284</v>
      </c>
      <c r="P20" s="34" t="s">
        <v>3975</v>
      </c>
      <c r="Q20" s="34" t="s">
        <v>3989</v>
      </c>
      <c r="R20" s="34" t="s">
        <v>285</v>
      </c>
      <c r="S20" s="34" t="s">
        <v>286</v>
      </c>
      <c r="T20" s="33" t="s">
        <v>48</v>
      </c>
      <c r="U20" s="33" t="s">
        <v>348</v>
      </c>
      <c r="V20" s="33" t="s">
        <v>61</v>
      </c>
      <c r="W20" s="16" t="s">
        <v>3996</v>
      </c>
      <c r="X20" s="16" t="s">
        <v>5924</v>
      </c>
      <c r="Y20" s="15" t="s">
        <v>3993</v>
      </c>
      <c r="Z20" s="15" t="s">
        <v>3994</v>
      </c>
      <c r="AA20" s="17" t="s">
        <v>4001</v>
      </c>
      <c r="AB20" s="17" t="s">
        <v>5924</v>
      </c>
    </row>
    <row r="21" spans="1:28" ht="16.95" customHeight="1">
      <c r="A21" s="16" t="s">
        <v>93</v>
      </c>
      <c r="B21" s="16" t="s">
        <v>1972</v>
      </c>
      <c r="C21" s="16">
        <v>0.5</v>
      </c>
      <c r="D21" s="15">
        <v>20</v>
      </c>
      <c r="E21" s="15">
        <f>IFERROR(INT(主要!#REF!/D21),0)</f>
        <v>0</v>
      </c>
      <c r="F21" s="16">
        <f>INT(C21*E21)</f>
        <v>0</v>
      </c>
      <c r="J21" s="18" t="s">
        <v>206</v>
      </c>
      <c r="K21" s="17"/>
      <c r="L21" s="17"/>
      <c r="M21" s="787"/>
      <c r="N21" s="34" t="s">
        <v>288</v>
      </c>
      <c r="O21" s="34" t="s">
        <v>289</v>
      </c>
      <c r="P21" s="34" t="s">
        <v>3976</v>
      </c>
      <c r="Q21" s="34" t="s">
        <v>3989</v>
      </c>
      <c r="R21" s="34" t="s">
        <v>290</v>
      </c>
      <c r="S21" s="34" t="s">
        <v>291</v>
      </c>
      <c r="T21" s="33" t="s">
        <v>48</v>
      </c>
      <c r="U21" s="33" t="s">
        <v>3958</v>
      </c>
      <c r="V21" s="33">
        <v>10</v>
      </c>
      <c r="W21" s="16">
        <f>主要!R14</f>
        <v>0</v>
      </c>
      <c r="X21" s="16"/>
      <c r="Y21" s="15" t="str">
        <f>IF(ISBLANK(主要!L40),"-",主要!L40)</f>
        <v>-</v>
      </c>
      <c r="Z21" s="15">
        <f>VLOOKUP(Y21,U21:W40,2,0)</f>
        <v>10</v>
      </c>
      <c r="AA21" s="17">
        <f>VLOOKUP(Y21,U21:W40,3,0)</f>
        <v>0</v>
      </c>
      <c r="AB21" s="17" t="str">
        <f>IF(VLOOKUP(Y21,U21:X40,4,0)="","",VLOOKUP(Y21,U21:X40,4,0))</f>
        <v/>
      </c>
    </row>
    <row r="22" spans="1:28" ht="16.95" customHeight="1">
      <c r="A22" s="16" t="s">
        <v>95</v>
      </c>
      <c r="B22" s="16" t="s">
        <v>1967</v>
      </c>
      <c r="C22" s="16">
        <v>1</v>
      </c>
      <c r="D22" s="15">
        <v>50</v>
      </c>
      <c r="E22" s="15">
        <f>IFERROR(INT(主要!#REF!/D22),0)</f>
        <v>0</v>
      </c>
      <c r="F22" s="16">
        <f>INT(C22*E22)</f>
        <v>0</v>
      </c>
      <c r="J22" s="18" t="s">
        <v>294</v>
      </c>
      <c r="K22" s="17"/>
      <c r="L22" s="17"/>
      <c r="M22" s="787"/>
      <c r="N22" s="34" t="s">
        <v>292</v>
      </c>
      <c r="O22" s="34" t="s">
        <v>289</v>
      </c>
      <c r="P22" s="34" t="s">
        <v>3977</v>
      </c>
      <c r="Q22" s="34" t="s">
        <v>3989</v>
      </c>
      <c r="R22" s="34" t="s">
        <v>285</v>
      </c>
      <c r="S22" s="34" t="s">
        <v>5256</v>
      </c>
      <c r="T22" s="33" t="s">
        <v>48</v>
      </c>
      <c r="U22" s="16" t="s">
        <v>3997</v>
      </c>
      <c r="V22" s="16">
        <v>13</v>
      </c>
      <c r="W22" s="16">
        <f>主要!R14</f>
        <v>0</v>
      </c>
      <c r="X22" s="16"/>
      <c r="Z22" s="17"/>
      <c r="AA22" s="17"/>
      <c r="AB22" s="17"/>
    </row>
    <row r="23" spans="1:28" ht="16.95" customHeight="1">
      <c r="J23" s="18" t="s">
        <v>296</v>
      </c>
      <c r="K23" s="17"/>
      <c r="L23" s="17"/>
      <c r="M23" s="787"/>
      <c r="N23" s="34" t="s">
        <v>295</v>
      </c>
      <c r="O23" s="34" t="s">
        <v>284</v>
      </c>
      <c r="P23" s="34" t="s">
        <v>3975</v>
      </c>
      <c r="Q23" s="34" t="s">
        <v>3989</v>
      </c>
      <c r="R23" s="34" t="s">
        <v>285</v>
      </c>
      <c r="S23" s="34" t="s">
        <v>286</v>
      </c>
      <c r="T23" s="33" t="s">
        <v>48</v>
      </c>
      <c r="U23" s="16" t="s">
        <v>4712</v>
      </c>
      <c r="V23" s="16">
        <f>10+主要!R17</f>
        <v>10</v>
      </c>
      <c r="W23" s="16">
        <f>主要!R14</f>
        <v>0</v>
      </c>
      <c r="X23" s="16" t="s">
        <v>5925</v>
      </c>
      <c r="Z23" s="17"/>
      <c r="AA23" s="17"/>
      <c r="AB23" s="17"/>
    </row>
    <row r="24" spans="1:28" ht="16.95" customHeight="1">
      <c r="J24" s="18" t="s">
        <v>298</v>
      </c>
      <c r="K24" s="17"/>
      <c r="L24" s="17"/>
      <c r="M24" s="787"/>
      <c r="N24" s="34" t="s">
        <v>297</v>
      </c>
      <c r="O24" s="34" t="s">
        <v>5257</v>
      </c>
      <c r="P24" s="34" t="s">
        <v>3976</v>
      </c>
      <c r="Q24" s="34" t="s">
        <v>3988</v>
      </c>
      <c r="R24" s="34" t="s">
        <v>285</v>
      </c>
      <c r="S24" s="34" t="s">
        <v>277</v>
      </c>
      <c r="T24" s="33" t="s">
        <v>48</v>
      </c>
      <c r="U24" s="16" t="s">
        <v>4713</v>
      </c>
      <c r="V24" s="16">
        <f>10+主要!R15</f>
        <v>10</v>
      </c>
      <c r="W24" s="16">
        <f>主要!R14</f>
        <v>0</v>
      </c>
      <c r="X24" s="16" t="s">
        <v>5926</v>
      </c>
      <c r="Z24" s="17"/>
      <c r="AA24" s="17"/>
      <c r="AB24" s="17"/>
    </row>
    <row r="25" spans="1:28" ht="16.95" customHeight="1">
      <c r="J25" s="29" t="s">
        <v>301</v>
      </c>
      <c r="K25" s="17"/>
      <c r="L25" s="17"/>
      <c r="M25" s="787"/>
      <c r="N25" s="34" t="s">
        <v>299</v>
      </c>
      <c r="O25" s="34" t="s">
        <v>276</v>
      </c>
      <c r="P25" s="34" t="s">
        <v>3985</v>
      </c>
      <c r="Q25" s="34" t="s">
        <v>3989</v>
      </c>
      <c r="R25" s="34" t="s">
        <v>246</v>
      </c>
      <c r="S25" s="34" t="s">
        <v>300</v>
      </c>
      <c r="T25" s="33" t="s">
        <v>48</v>
      </c>
      <c r="U25" s="16" t="s">
        <v>5935</v>
      </c>
      <c r="V25" s="16">
        <f>10+主要!R18</f>
        <v>10</v>
      </c>
      <c r="W25" s="16">
        <f>主要!R14</f>
        <v>0</v>
      </c>
      <c r="X25" s="16" t="s">
        <v>5927</v>
      </c>
      <c r="Z25" s="17"/>
      <c r="AA25" s="17"/>
      <c r="AB25" s="17"/>
    </row>
    <row r="26" spans="1:28" ht="16.95" customHeight="1">
      <c r="A26" s="446" t="s">
        <v>6501</v>
      </c>
      <c r="B26" s="446" t="s">
        <v>6502</v>
      </c>
      <c r="C26" s="446" t="s">
        <v>6503</v>
      </c>
      <c r="D26" s="446" t="s">
        <v>78</v>
      </c>
      <c r="E26" s="446" t="s">
        <v>6502</v>
      </c>
      <c r="F26" s="446" t="s">
        <v>6501</v>
      </c>
      <c r="G26" s="446" t="s">
        <v>6502</v>
      </c>
      <c r="H26" s="446" t="s">
        <v>6504</v>
      </c>
      <c r="J26" s="17"/>
      <c r="K26" s="17"/>
      <c r="L26" s="17"/>
      <c r="M26" s="787"/>
      <c r="N26" s="34" t="s">
        <v>302</v>
      </c>
      <c r="O26" s="34" t="s">
        <v>289</v>
      </c>
      <c r="P26" s="34" t="s">
        <v>3977</v>
      </c>
      <c r="Q26" s="34" t="s">
        <v>3987</v>
      </c>
      <c r="R26" s="34" t="s">
        <v>207</v>
      </c>
      <c r="S26" s="34" t="s">
        <v>277</v>
      </c>
      <c r="T26" s="33" t="s">
        <v>48</v>
      </c>
      <c r="U26" s="16" t="s">
        <v>5945</v>
      </c>
      <c r="V26" s="16">
        <v>10</v>
      </c>
      <c r="W26" s="16">
        <f>主要!R14</f>
        <v>0</v>
      </c>
      <c r="X26" s="16"/>
      <c r="Z26" s="17"/>
      <c r="AA26" s="17"/>
      <c r="AB26" s="17"/>
    </row>
    <row r="27" spans="1:28" ht="16.95" customHeight="1">
      <c r="A27" s="447" t="s">
        <v>6505</v>
      </c>
      <c r="B27" s="447" t="s">
        <v>6506</v>
      </c>
      <c r="C27" s="447" t="s">
        <v>444</v>
      </c>
      <c r="D27" s="447">
        <v>1</v>
      </c>
      <c r="E27" s="447">
        <v>20</v>
      </c>
      <c r="F27" s="408" t="str">
        <f>IF(主要!AK30="","-",主要!AK30)</f>
        <v>箭矢</v>
      </c>
      <c r="G27" s="408" t="str">
        <f>IFERROR(VLOOKUP(F27,$A$27:$C$31,2,FALSE),"")</f>
        <v>20/1磅</v>
      </c>
      <c r="H27" s="408">
        <f>ROUND(ROUND(主要!AS30/VLOOKUP(F27,$A$27:$E$31,5,FALSE),1)*VLOOKUP(F27,$A$27:$E$31,4,FALSE),1)</f>
        <v>0</v>
      </c>
      <c r="J27" s="18" t="s">
        <v>4000</v>
      </c>
      <c r="K27" s="18"/>
      <c r="L27" s="37"/>
      <c r="M27" s="787"/>
      <c r="N27" s="34" t="s">
        <v>303</v>
      </c>
      <c r="O27" s="34" t="s">
        <v>81</v>
      </c>
      <c r="P27" s="34" t="s">
        <v>3985</v>
      </c>
      <c r="Q27" s="34" t="s">
        <v>3988</v>
      </c>
      <c r="R27" s="34" t="s">
        <v>229</v>
      </c>
      <c r="S27" s="34" t="s">
        <v>300</v>
      </c>
      <c r="T27" s="33" t="s">
        <v>48</v>
      </c>
      <c r="U27" s="33" t="s">
        <v>314</v>
      </c>
      <c r="V27" s="33">
        <v>11</v>
      </c>
      <c r="W27" s="16">
        <f>主要!R14</f>
        <v>0</v>
      </c>
      <c r="X27" s="16" t="s">
        <v>5928</v>
      </c>
      <c r="Z27" s="17"/>
      <c r="AA27" s="17"/>
      <c r="AB27" s="17"/>
    </row>
    <row r="28" spans="1:28" ht="16.95" customHeight="1">
      <c r="A28" s="171" t="s">
        <v>6507</v>
      </c>
      <c r="B28" s="171" t="s">
        <v>6508</v>
      </c>
      <c r="C28" s="171" t="s">
        <v>405</v>
      </c>
      <c r="D28" s="171">
        <v>1.5</v>
      </c>
      <c r="E28" s="171">
        <v>20</v>
      </c>
      <c r="F28" s="408"/>
      <c r="G28" s="408"/>
      <c r="H28" s="408"/>
      <c r="J28" s="18" t="s">
        <v>178</v>
      </c>
      <c r="K28" s="18"/>
      <c r="L28" s="37">
        <f>主要!R14</f>
        <v>0</v>
      </c>
      <c r="M28" s="787"/>
      <c r="N28" s="34" t="s">
        <v>304</v>
      </c>
      <c r="O28" s="34" t="s">
        <v>284</v>
      </c>
      <c r="P28" s="34" t="s">
        <v>3975</v>
      </c>
      <c r="Q28" s="34" t="s">
        <v>3988</v>
      </c>
      <c r="R28" s="34" t="s">
        <v>305</v>
      </c>
      <c r="S28" s="34" t="s">
        <v>214</v>
      </c>
      <c r="T28" s="33" t="s">
        <v>48</v>
      </c>
      <c r="U28" s="33" t="s">
        <v>319</v>
      </c>
      <c r="V28" s="33">
        <v>11</v>
      </c>
      <c r="W28" s="16">
        <f>主要!R14</f>
        <v>0</v>
      </c>
      <c r="X28" s="16"/>
      <c r="Z28" s="17"/>
      <c r="AA28" s="17"/>
      <c r="AB28" s="17"/>
    </row>
    <row r="29" spans="1:28" ht="16.95" customHeight="1">
      <c r="A29" s="447" t="s">
        <v>6509</v>
      </c>
      <c r="B29" s="447" t="s">
        <v>6510</v>
      </c>
      <c r="C29" s="447" t="s">
        <v>443</v>
      </c>
      <c r="D29" s="447">
        <v>2</v>
      </c>
      <c r="E29" s="447">
        <v>10</v>
      </c>
      <c r="F29" s="408"/>
      <c r="G29" s="408"/>
      <c r="H29" s="408"/>
      <c r="J29" s="18" t="s">
        <v>182</v>
      </c>
      <c r="K29" s="18">
        <v>2</v>
      </c>
      <c r="L29" s="37">
        <f>IF(主要!R14&gt;=K29,K29,主要!R14)</f>
        <v>0</v>
      </c>
      <c r="M29" s="787"/>
      <c r="N29" s="34" t="s">
        <v>306</v>
      </c>
      <c r="O29" s="34" t="s">
        <v>307</v>
      </c>
      <c r="P29" s="34" t="s">
        <v>3985</v>
      </c>
      <c r="Q29" s="34" t="s">
        <v>3988</v>
      </c>
      <c r="R29" s="34" t="s">
        <v>185</v>
      </c>
      <c r="S29" s="34" t="s">
        <v>253</v>
      </c>
      <c r="T29" s="33" t="str">
        <f>IF(主要!R13&gt;=主要!R14,"力量","敏捷")</f>
        <v>力量</v>
      </c>
      <c r="U29" s="33" t="s">
        <v>325</v>
      </c>
      <c r="V29" s="33">
        <v>12</v>
      </c>
      <c r="W29" s="16">
        <f>主要!R14</f>
        <v>0</v>
      </c>
      <c r="X29" s="16"/>
      <c r="Z29" s="17"/>
      <c r="AA29" s="17"/>
      <c r="AB29" s="17"/>
    </row>
    <row r="30" spans="1:28" ht="16.95" customHeight="1">
      <c r="A30" s="171" t="s">
        <v>6511</v>
      </c>
      <c r="B30" s="171" t="s">
        <v>6508</v>
      </c>
      <c r="C30" s="171" t="s">
        <v>443</v>
      </c>
      <c r="D30" s="171">
        <v>1.5</v>
      </c>
      <c r="E30" s="171">
        <v>20</v>
      </c>
      <c r="F30" s="408"/>
      <c r="G30" s="408"/>
      <c r="H30" s="408"/>
      <c r="J30" s="18" t="s">
        <v>199</v>
      </c>
      <c r="K30" s="18">
        <v>0</v>
      </c>
      <c r="L30" s="37">
        <v>0</v>
      </c>
      <c r="M30" s="787"/>
      <c r="N30" s="34" t="s">
        <v>308</v>
      </c>
      <c r="O30" s="34" t="s">
        <v>309</v>
      </c>
      <c r="P30" s="34" t="s">
        <v>3986</v>
      </c>
      <c r="Q30" s="34" t="s">
        <v>3989</v>
      </c>
      <c r="R30" s="34" t="s">
        <v>246</v>
      </c>
      <c r="S30" s="34" t="s">
        <v>253</v>
      </c>
      <c r="T30" s="33" t="str">
        <f>IF(主要!R13&gt;=主要!R14,"力量","敏捷")</f>
        <v>力量</v>
      </c>
      <c r="U30" s="16" t="s">
        <v>4009</v>
      </c>
      <c r="V30" s="16">
        <v>10</v>
      </c>
      <c r="W30" s="16">
        <f>主要!R14</f>
        <v>0</v>
      </c>
      <c r="X30" s="16"/>
      <c r="Z30" s="17"/>
      <c r="AA30" s="17"/>
      <c r="AB30" s="17"/>
    </row>
    <row r="31" spans="1:28" ht="16.95" customHeight="1">
      <c r="A31" s="447" t="s">
        <v>6512</v>
      </c>
      <c r="B31" s="447" t="s">
        <v>6513</v>
      </c>
      <c r="C31" s="447" t="s">
        <v>443</v>
      </c>
      <c r="D31" s="447">
        <v>1</v>
      </c>
      <c r="E31" s="447">
        <v>50</v>
      </c>
      <c r="F31" s="408"/>
      <c r="G31" s="408"/>
      <c r="H31" s="408"/>
      <c r="J31" s="17"/>
      <c r="K31" s="17"/>
      <c r="L31" s="17"/>
      <c r="M31" s="787"/>
      <c r="N31" s="34" t="s">
        <v>310</v>
      </c>
      <c r="O31" s="34" t="s">
        <v>309</v>
      </c>
      <c r="P31" s="34" t="s">
        <v>3986</v>
      </c>
      <c r="Q31" s="34" t="s">
        <v>3988</v>
      </c>
      <c r="R31" s="34" t="s">
        <v>185</v>
      </c>
      <c r="S31" s="34" t="s">
        <v>277</v>
      </c>
      <c r="T31" s="33" t="str">
        <f>IF(主要!R13&gt;=主要!R14,"力量","敏捷")</f>
        <v>力量</v>
      </c>
      <c r="U31" s="33" t="s">
        <v>315</v>
      </c>
      <c r="V31" s="33">
        <v>12</v>
      </c>
      <c r="W31" s="16">
        <f>IF(主要!R14&gt;=2,2,主要!R14)</f>
        <v>0</v>
      </c>
      <c r="X31" s="16"/>
      <c r="Z31" s="17"/>
      <c r="AA31" s="17"/>
      <c r="AB31" s="17"/>
    </row>
    <row r="32" spans="1:28" ht="16.95" customHeight="1">
      <c r="I32" s="16" t="s">
        <v>4000</v>
      </c>
      <c r="J32" s="29" t="s">
        <v>178</v>
      </c>
      <c r="K32" s="29" t="s">
        <v>182</v>
      </c>
      <c r="L32" s="29" t="s">
        <v>199</v>
      </c>
      <c r="M32" s="787"/>
      <c r="N32" s="34" t="s">
        <v>311</v>
      </c>
      <c r="O32" s="34" t="s">
        <v>245</v>
      </c>
      <c r="P32" s="34" t="s">
        <v>3986</v>
      </c>
      <c r="Q32" s="34" t="s">
        <v>3988</v>
      </c>
      <c r="R32" s="34" t="s">
        <v>229</v>
      </c>
      <c r="S32" s="34" t="s">
        <v>214</v>
      </c>
      <c r="T32" s="33" t="s">
        <v>48</v>
      </c>
      <c r="U32" s="33" t="s">
        <v>320</v>
      </c>
      <c r="V32" s="33">
        <v>13</v>
      </c>
      <c r="W32" s="16">
        <f>IF(主要!R14&gt;=2,2,主要!R14)</f>
        <v>0</v>
      </c>
      <c r="X32" s="16"/>
      <c r="Z32" s="17"/>
      <c r="AA32" s="17"/>
      <c r="AB32" s="17"/>
    </row>
    <row r="33" spans="9:28" ht="16.95" customHeight="1">
      <c r="I33" s="16" t="s">
        <v>3997</v>
      </c>
      <c r="J33" s="29" t="s">
        <v>314</v>
      </c>
      <c r="K33" s="29" t="s">
        <v>315</v>
      </c>
      <c r="L33" s="29" t="s">
        <v>316</v>
      </c>
      <c r="M33" s="787"/>
      <c r="N33" s="34" t="s">
        <v>312</v>
      </c>
      <c r="O33" s="34" t="s">
        <v>3958</v>
      </c>
      <c r="P33" s="34" t="s">
        <v>3985</v>
      </c>
      <c r="Q33" s="34" t="s">
        <v>3988</v>
      </c>
      <c r="R33" s="34">
        <v>2</v>
      </c>
      <c r="S33" s="34" t="s">
        <v>214</v>
      </c>
      <c r="T33" s="33" t="s">
        <v>48</v>
      </c>
      <c r="U33" s="33" t="s">
        <v>326</v>
      </c>
      <c r="V33" s="33">
        <v>14</v>
      </c>
      <c r="W33" s="16">
        <f>IF(主要!R14&gt;=2,2,主要!R14)</f>
        <v>0</v>
      </c>
      <c r="X33" s="16" t="s">
        <v>5928</v>
      </c>
      <c r="Z33" s="17"/>
      <c r="AA33" s="17"/>
      <c r="AB33" s="17"/>
    </row>
    <row r="34" spans="9:28" ht="16.95" customHeight="1">
      <c r="I34" s="16" t="s">
        <v>3998</v>
      </c>
      <c r="J34" s="29" t="s">
        <v>319</v>
      </c>
      <c r="K34" s="29" t="s">
        <v>320</v>
      </c>
      <c r="L34" s="29" t="s">
        <v>321</v>
      </c>
      <c r="M34" s="787"/>
      <c r="N34" s="34" t="s">
        <v>313</v>
      </c>
      <c r="O34" s="34" t="s">
        <v>276</v>
      </c>
      <c r="P34" s="34" t="s">
        <v>3985</v>
      </c>
      <c r="Q34" s="34" t="s">
        <v>3987</v>
      </c>
      <c r="R34" s="34" t="s">
        <v>185</v>
      </c>
      <c r="S34" s="34" t="s">
        <v>300</v>
      </c>
      <c r="T34" s="33" t="s">
        <v>48</v>
      </c>
      <c r="U34" s="33" t="s">
        <v>331</v>
      </c>
      <c r="V34" s="33">
        <v>14</v>
      </c>
      <c r="W34" s="16">
        <f>IF(主要!R14&gt;=2,2,主要!R14)</f>
        <v>0</v>
      </c>
      <c r="X34" s="16"/>
      <c r="Y34" s="17"/>
      <c r="Z34" s="17"/>
    </row>
    <row r="35" spans="9:28" ht="16.95" customHeight="1">
      <c r="I35" s="16" t="s">
        <v>3999</v>
      </c>
      <c r="J35" s="29" t="s">
        <v>325</v>
      </c>
      <c r="K35" s="29" t="s">
        <v>326</v>
      </c>
      <c r="L35" s="29" t="s">
        <v>327</v>
      </c>
      <c r="M35" s="787"/>
      <c r="N35" s="34" t="s">
        <v>317</v>
      </c>
      <c r="O35" s="34" t="s">
        <v>318</v>
      </c>
      <c r="P35" s="34" t="s">
        <v>3984</v>
      </c>
      <c r="Q35" s="34" t="s">
        <v>3989</v>
      </c>
      <c r="R35" s="34" t="s">
        <v>246</v>
      </c>
      <c r="S35" s="34" t="s">
        <v>202</v>
      </c>
      <c r="T35" s="33" t="str">
        <f>IF(主要!R13&gt;=主要!R14,"力量","敏捷")</f>
        <v>力量</v>
      </c>
      <c r="U35" s="33" t="s">
        <v>338</v>
      </c>
      <c r="V35" s="33">
        <v>15</v>
      </c>
      <c r="W35" s="16">
        <f>IF(主要!R14&gt;=2,2,主要!R14)</f>
        <v>0</v>
      </c>
      <c r="X35" s="16" t="s">
        <v>5928</v>
      </c>
      <c r="Z35" s="17"/>
      <c r="AA35" s="17"/>
      <c r="AB35" s="17"/>
    </row>
    <row r="36" spans="9:28" ht="16.95" customHeight="1">
      <c r="I36" s="16"/>
      <c r="J36" s="29"/>
      <c r="K36" s="29" t="s">
        <v>331</v>
      </c>
      <c r="L36" s="29" t="s">
        <v>332</v>
      </c>
      <c r="M36" s="785" t="s">
        <v>322</v>
      </c>
      <c r="N36" s="39" t="s">
        <v>323</v>
      </c>
      <c r="O36" s="39" t="s">
        <v>324</v>
      </c>
      <c r="P36" s="39">
        <v>1</v>
      </c>
      <c r="Q36" s="39" t="s">
        <v>3988</v>
      </c>
      <c r="R36" s="39" t="s">
        <v>201</v>
      </c>
      <c r="S36" s="39" t="s">
        <v>277</v>
      </c>
      <c r="T36" s="38" t="s">
        <v>50</v>
      </c>
      <c r="U36" s="16" t="s">
        <v>6010</v>
      </c>
      <c r="V36" s="16">
        <v>10</v>
      </c>
      <c r="W36" s="16">
        <f>主要!R14</f>
        <v>0</v>
      </c>
      <c r="X36" s="16"/>
      <c r="Z36" s="17"/>
      <c r="AA36" s="17"/>
      <c r="AB36" s="17"/>
    </row>
    <row r="37" spans="9:28" ht="16.95" customHeight="1">
      <c r="I37" s="16"/>
      <c r="J37" s="29"/>
      <c r="K37" s="29" t="s">
        <v>338</v>
      </c>
      <c r="L37" s="29"/>
      <c r="M37" s="785"/>
      <c r="N37" s="39" t="s">
        <v>328</v>
      </c>
      <c r="O37" s="39" t="s">
        <v>329</v>
      </c>
      <c r="P37" s="39" t="s">
        <v>3986</v>
      </c>
      <c r="Q37" s="39" t="s">
        <v>3988</v>
      </c>
      <c r="R37" s="39" t="s">
        <v>246</v>
      </c>
      <c r="S37" s="39" t="s">
        <v>330</v>
      </c>
      <c r="T37" s="38" t="s">
        <v>50</v>
      </c>
      <c r="U37" s="33" t="s">
        <v>316</v>
      </c>
      <c r="V37" s="33">
        <v>14</v>
      </c>
      <c r="W37" s="16">
        <v>0</v>
      </c>
      <c r="X37" s="16" t="s">
        <v>5928</v>
      </c>
      <c r="Z37" s="17"/>
      <c r="AA37" s="17"/>
      <c r="AB37" s="17"/>
    </row>
    <row r="38" spans="9:28" ht="16.95" customHeight="1">
      <c r="J38" s="20" t="str">
        <f>IFERROR(VLOOKUP(主要!Q40,装备!U21:V40,5,FALSE),"")</f>
        <v/>
      </c>
      <c r="K38" s="17" t="str">
        <f>IFERROR(VLOOKUP(主要!Q40,装备!U21:V40,2,FALSE),"")</f>
        <v/>
      </c>
      <c r="L38" s="17"/>
      <c r="M38" s="785"/>
      <c r="N38" s="39" t="s">
        <v>333</v>
      </c>
      <c r="O38" s="39" t="s">
        <v>334</v>
      </c>
      <c r="P38" s="39" t="s">
        <v>3975</v>
      </c>
      <c r="Q38" s="39" t="s">
        <v>3988</v>
      </c>
      <c r="R38" s="39" t="s">
        <v>305</v>
      </c>
      <c r="S38" s="39" t="s">
        <v>293</v>
      </c>
      <c r="T38" s="38" t="s">
        <v>50</v>
      </c>
      <c r="U38" s="33" t="s">
        <v>321</v>
      </c>
      <c r="V38" s="33">
        <v>16</v>
      </c>
      <c r="W38" s="16">
        <v>0</v>
      </c>
      <c r="X38" s="16" t="s">
        <v>5929</v>
      </c>
      <c r="Z38" s="17"/>
      <c r="AA38" s="17"/>
      <c r="AB38" s="17"/>
    </row>
    <row r="39" spans="9:28" ht="16.95" customHeight="1">
      <c r="J39" s="17" t="str">
        <f>IFERROR(VLOOKUP(主要!P40,装备!U21:V40,4,FALSE),"")</f>
        <v/>
      </c>
      <c r="K39" s="17" t="str">
        <f>IFERROR(VLOOKUP(主要!P40,装备!U21:V40,3,FALSE),"")</f>
        <v/>
      </c>
      <c r="L39" s="17"/>
      <c r="M39" s="785"/>
      <c r="N39" s="39" t="s">
        <v>339</v>
      </c>
      <c r="O39" s="39" t="s">
        <v>340</v>
      </c>
      <c r="P39" s="39" t="s">
        <v>3985</v>
      </c>
      <c r="Q39" s="39" t="s">
        <v>3988</v>
      </c>
      <c r="R39" s="39" t="s">
        <v>185</v>
      </c>
      <c r="S39" s="39" t="s">
        <v>293</v>
      </c>
      <c r="T39" s="38" t="s">
        <v>50</v>
      </c>
      <c r="U39" s="33" t="s">
        <v>327</v>
      </c>
      <c r="V39" s="33">
        <v>17</v>
      </c>
      <c r="W39" s="16">
        <v>0</v>
      </c>
      <c r="X39" s="16" t="s">
        <v>5930</v>
      </c>
      <c r="Z39" s="17"/>
      <c r="AA39" s="17"/>
      <c r="AB39" s="17"/>
    </row>
    <row r="40" spans="9:28" ht="16.95" customHeight="1">
      <c r="J40" s="17"/>
      <c r="K40" s="17" t="str">
        <f>IF(OR(装备!K39=0,装备!K39=""),"OK",IF(主要!F13&gt;装备!K39,"OK","NO"))</f>
        <v>OK</v>
      </c>
      <c r="L40" s="17"/>
      <c r="M40" s="785"/>
      <c r="N40" s="39" t="s">
        <v>344</v>
      </c>
      <c r="O40" s="39" t="s">
        <v>5258</v>
      </c>
      <c r="P40" s="39" t="s">
        <v>3958</v>
      </c>
      <c r="Q40" s="39" t="s">
        <v>81</v>
      </c>
      <c r="R40" s="39" t="s">
        <v>246</v>
      </c>
      <c r="S40" s="39" t="s">
        <v>240</v>
      </c>
      <c r="T40" s="38" t="s">
        <v>50</v>
      </c>
      <c r="U40" s="33" t="s">
        <v>332</v>
      </c>
      <c r="V40" s="33">
        <v>18</v>
      </c>
      <c r="W40" s="16">
        <v>0</v>
      </c>
      <c r="X40" s="16" t="s">
        <v>5930</v>
      </c>
      <c r="Z40" s="17"/>
      <c r="AA40" s="17"/>
      <c r="AB40" s="17"/>
    </row>
    <row r="41" spans="9:28" ht="16.95" customHeight="1">
      <c r="J41" s="17"/>
      <c r="K41" s="17"/>
      <c r="L41" s="17"/>
      <c r="M41" s="781" t="s">
        <v>3942</v>
      </c>
      <c r="N41" s="65" t="s">
        <v>3944</v>
      </c>
      <c r="O41" s="65" t="s">
        <v>3950</v>
      </c>
      <c r="P41" s="65" t="s">
        <v>3975</v>
      </c>
      <c r="Q41" s="65" t="s">
        <v>3988</v>
      </c>
      <c r="R41" s="65" t="s">
        <v>3948</v>
      </c>
      <c r="S41" s="65" t="s">
        <v>3946</v>
      </c>
      <c r="T41" s="64" t="s">
        <v>50</v>
      </c>
      <c r="Z41" s="17"/>
      <c r="AA41" s="17"/>
      <c r="AB41" s="17"/>
    </row>
    <row r="42" spans="9:28" ht="16.95" customHeight="1">
      <c r="J42" s="17"/>
      <c r="K42" s="17"/>
      <c r="L42" s="17"/>
      <c r="M42" s="783"/>
      <c r="N42" s="65" t="s">
        <v>3945</v>
      </c>
      <c r="O42" s="65" t="s">
        <v>3951</v>
      </c>
      <c r="P42" s="65" t="s">
        <v>3976</v>
      </c>
      <c r="Q42" s="65" t="s">
        <v>3988</v>
      </c>
      <c r="R42" s="65" t="s">
        <v>3949</v>
      </c>
      <c r="S42" s="65" t="s">
        <v>3947</v>
      </c>
      <c r="T42" s="64" t="s">
        <v>50</v>
      </c>
    </row>
    <row r="43" spans="9:28" ht="16.95" customHeight="1">
      <c r="J43" s="17"/>
      <c r="K43" s="17"/>
      <c r="L43" s="17"/>
      <c r="M43" s="781" t="s">
        <v>3941</v>
      </c>
      <c r="N43" s="65" t="s">
        <v>3952</v>
      </c>
      <c r="O43" s="65" t="s">
        <v>3959</v>
      </c>
      <c r="P43" s="65" t="s">
        <v>3977</v>
      </c>
      <c r="Q43" s="65" t="s">
        <v>3988</v>
      </c>
      <c r="R43" s="65" t="s">
        <v>3948</v>
      </c>
      <c r="S43" s="65" t="s">
        <v>3958</v>
      </c>
      <c r="T43" s="64" t="s">
        <v>50</v>
      </c>
    </row>
    <row r="44" spans="9:28" ht="16.95" customHeight="1">
      <c r="J44" s="17"/>
      <c r="K44" s="17"/>
      <c r="L44" s="17"/>
      <c r="M44" s="782"/>
      <c r="N44" s="65" t="s">
        <v>3953</v>
      </c>
      <c r="O44" s="65" t="s">
        <v>3960</v>
      </c>
      <c r="P44" s="65" t="s">
        <v>3978</v>
      </c>
      <c r="Q44" s="65" t="s">
        <v>3988</v>
      </c>
      <c r="R44" s="65" t="s">
        <v>3948</v>
      </c>
      <c r="S44" s="65" t="s">
        <v>81</v>
      </c>
      <c r="T44" s="64" t="s">
        <v>50</v>
      </c>
    </row>
    <row r="45" spans="9:28" ht="16.95" customHeight="1">
      <c r="J45" s="17"/>
      <c r="K45" s="17"/>
      <c r="L45" s="17"/>
      <c r="M45" s="782"/>
      <c r="N45" s="65" t="s">
        <v>3954</v>
      </c>
      <c r="O45" s="65" t="s">
        <v>3961</v>
      </c>
      <c r="P45" s="65" t="s">
        <v>3979</v>
      </c>
      <c r="Q45" s="65" t="s">
        <v>3988</v>
      </c>
      <c r="R45" s="65" t="s">
        <v>3957</v>
      </c>
      <c r="S45" s="65" t="s">
        <v>81</v>
      </c>
      <c r="T45" s="64" t="s">
        <v>50</v>
      </c>
    </row>
    <row r="46" spans="9:28" ht="16.95" customHeight="1">
      <c r="J46" s="17"/>
      <c r="K46" s="17"/>
      <c r="L46" s="17"/>
      <c r="M46" s="782"/>
      <c r="N46" s="65" t="s">
        <v>3955</v>
      </c>
      <c r="O46" s="65" t="s">
        <v>3962</v>
      </c>
      <c r="P46" s="65" t="s">
        <v>3978</v>
      </c>
      <c r="Q46" s="65" t="s">
        <v>3988</v>
      </c>
      <c r="R46" s="65" t="s">
        <v>3957</v>
      </c>
      <c r="S46" s="65" t="s">
        <v>81</v>
      </c>
      <c r="T46" s="64" t="s">
        <v>50</v>
      </c>
    </row>
    <row r="47" spans="9:28" ht="16.95" customHeight="1">
      <c r="J47" s="17"/>
      <c r="K47" s="17"/>
      <c r="L47" s="17"/>
      <c r="M47" s="783"/>
      <c r="N47" s="65" t="s">
        <v>3956</v>
      </c>
      <c r="O47" s="65" t="s">
        <v>3963</v>
      </c>
      <c r="P47" s="65" t="s">
        <v>3978</v>
      </c>
      <c r="Q47" s="65" t="s">
        <v>3988</v>
      </c>
      <c r="R47" s="65" t="s">
        <v>3957</v>
      </c>
      <c r="S47" s="65" t="s">
        <v>81</v>
      </c>
      <c r="T47" s="64" t="s">
        <v>50</v>
      </c>
    </row>
    <row r="48" spans="9:28" ht="16.95" customHeight="1">
      <c r="J48" s="17"/>
      <c r="K48" s="17"/>
      <c r="L48" s="17"/>
      <c r="M48" s="781" t="s">
        <v>3943</v>
      </c>
      <c r="N48" s="65" t="s">
        <v>3964</v>
      </c>
      <c r="O48" s="65" t="s">
        <v>3967</v>
      </c>
      <c r="P48" s="65" t="s">
        <v>3980</v>
      </c>
      <c r="Q48" s="65" t="s">
        <v>3990</v>
      </c>
      <c r="R48" s="65" t="s">
        <v>3970</v>
      </c>
      <c r="S48" s="65" t="s">
        <v>81</v>
      </c>
      <c r="T48" s="64" t="s">
        <v>50</v>
      </c>
    </row>
    <row r="49" spans="13:20" ht="16.95" customHeight="1">
      <c r="M49" s="782"/>
      <c r="N49" s="65" t="s">
        <v>3966</v>
      </c>
      <c r="O49" s="65" t="s">
        <v>3968</v>
      </c>
      <c r="P49" s="65" t="s">
        <v>3981</v>
      </c>
      <c r="Q49" s="65" t="s">
        <v>3991</v>
      </c>
      <c r="R49" s="65" t="s">
        <v>3949</v>
      </c>
      <c r="S49" s="65" t="s">
        <v>81</v>
      </c>
      <c r="T49" s="64" t="s">
        <v>50</v>
      </c>
    </row>
    <row r="50" spans="13:20" ht="16.95" customHeight="1">
      <c r="M50" s="783"/>
      <c r="N50" s="65" t="s">
        <v>3965</v>
      </c>
      <c r="O50" s="65" t="s">
        <v>3969</v>
      </c>
      <c r="P50" s="65" t="s">
        <v>3982</v>
      </c>
      <c r="Q50" s="65" t="s">
        <v>3990</v>
      </c>
      <c r="R50" s="65" t="s">
        <v>3971</v>
      </c>
      <c r="S50" s="65" t="s">
        <v>81</v>
      </c>
      <c r="T50" s="64" t="s">
        <v>50</v>
      </c>
    </row>
  </sheetData>
  <mergeCells count="13">
    <mergeCell ref="M43:M47"/>
    <mergeCell ref="M48:M50"/>
    <mergeCell ref="M4:M13"/>
    <mergeCell ref="M14:M17"/>
    <mergeCell ref="M36:M40"/>
    <mergeCell ref="M41:M42"/>
    <mergeCell ref="M18:M35"/>
    <mergeCell ref="Z1:AA1"/>
    <mergeCell ref="A1:G1"/>
    <mergeCell ref="A17:B17"/>
    <mergeCell ref="A3:A5"/>
    <mergeCell ref="A6:A10"/>
    <mergeCell ref="A11:A14"/>
  </mergeCells>
  <phoneticPr fontId="49"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7A01-4019-4240-92B1-7188C18262A0}">
  <sheetPr codeName="Sheet8"/>
  <dimension ref="A1:AW159"/>
  <sheetViews>
    <sheetView zoomScale="70" zoomScaleNormal="70" workbookViewId="0">
      <pane xSplit="4" topLeftCell="R1" activePane="topRight" state="frozen"/>
      <selection activeCell="B5" sqref="B5:F5"/>
      <selection pane="topRight" activeCell="AE31" sqref="AE31"/>
    </sheetView>
  </sheetViews>
  <sheetFormatPr defaultColWidth="8.88671875" defaultRowHeight="14.4" customHeight="1"/>
  <cols>
    <col min="1" max="4" width="8.88671875" style="81"/>
    <col min="5" max="11" width="8.88671875" style="76"/>
    <col min="12" max="42" width="8.88671875" style="81"/>
    <col min="43" max="16384" width="8.88671875" style="76"/>
  </cols>
  <sheetData>
    <row r="1" spans="1:44" ht="14.4" customHeight="1">
      <c r="A1" s="109" t="s">
        <v>23</v>
      </c>
      <c r="B1" s="109" t="s">
        <v>4747</v>
      </c>
      <c r="C1" s="109" t="s">
        <v>4748</v>
      </c>
      <c r="D1" s="109" t="s">
        <v>4749</v>
      </c>
      <c r="E1" s="126" t="s">
        <v>4750</v>
      </c>
      <c r="F1" s="75" t="s">
        <v>4751</v>
      </c>
      <c r="G1" s="75" t="s">
        <v>67</v>
      </c>
      <c r="H1" s="75" t="s">
        <v>68</v>
      </c>
      <c r="I1" s="75" t="s">
        <v>129</v>
      </c>
      <c r="J1" s="215" t="s">
        <v>5584</v>
      </c>
      <c r="K1" s="75"/>
      <c r="L1" s="108"/>
      <c r="M1" s="109" t="s">
        <v>34</v>
      </c>
      <c r="N1" s="110" t="s">
        <v>138</v>
      </c>
      <c r="O1" s="111" t="s">
        <v>4730</v>
      </c>
      <c r="P1" s="112" t="s">
        <v>4731</v>
      </c>
      <c r="Q1" s="113" t="s">
        <v>4732</v>
      </c>
      <c r="R1" s="114" t="s">
        <v>4733</v>
      </c>
      <c r="S1" s="115" t="s">
        <v>4734</v>
      </c>
      <c r="T1" s="116" t="s">
        <v>4735</v>
      </c>
      <c r="U1" s="117" t="s">
        <v>4736</v>
      </c>
      <c r="V1" s="118" t="s">
        <v>4737</v>
      </c>
      <c r="W1" s="166" t="s">
        <v>4738</v>
      </c>
      <c r="X1" s="119" t="s">
        <v>4739</v>
      </c>
      <c r="Y1" s="120" t="s">
        <v>4740</v>
      </c>
      <c r="Z1" s="121" t="s">
        <v>4741</v>
      </c>
      <c r="AA1" s="122" t="s">
        <v>4742</v>
      </c>
      <c r="AB1" s="123"/>
      <c r="AC1" s="109" t="s">
        <v>67</v>
      </c>
      <c r="AD1" s="124" t="s">
        <v>4743</v>
      </c>
      <c r="AE1" s="802" t="s">
        <v>4744</v>
      </c>
      <c r="AF1" s="778"/>
      <c r="AG1" s="777" t="s">
        <v>131</v>
      </c>
      <c r="AH1" s="802"/>
      <c r="AI1" s="802"/>
      <c r="AJ1" s="778"/>
      <c r="AK1" s="802" t="s">
        <v>4745</v>
      </c>
      <c r="AL1" s="802"/>
      <c r="AM1" s="803" t="s">
        <v>4746</v>
      </c>
      <c r="AN1" s="804"/>
      <c r="AO1" s="805"/>
      <c r="AP1" s="110"/>
    </row>
    <row r="2" spans="1:44" ht="14.4" customHeight="1">
      <c r="A2" s="131" t="s">
        <v>156</v>
      </c>
      <c r="B2" s="131">
        <v>1</v>
      </c>
      <c r="C2" s="131">
        <v>1</v>
      </c>
      <c r="D2" s="131">
        <v>5</v>
      </c>
      <c r="E2" s="77" t="s">
        <v>157</v>
      </c>
      <c r="F2" s="79" t="s">
        <v>4752</v>
      </c>
      <c r="G2" s="79" t="s">
        <v>182</v>
      </c>
      <c r="H2" s="79" t="s">
        <v>5310</v>
      </c>
      <c r="I2" s="79" t="s">
        <v>4753</v>
      </c>
      <c r="J2" s="80" t="s">
        <v>5511</v>
      </c>
      <c r="K2" s="79"/>
      <c r="L2" s="77" t="s">
        <v>156</v>
      </c>
      <c r="M2" s="76" t="s">
        <v>157</v>
      </c>
      <c r="N2" s="76" t="s">
        <v>158</v>
      </c>
      <c r="O2" s="127" t="s">
        <v>5103</v>
      </c>
      <c r="P2" s="128" t="s">
        <v>5104</v>
      </c>
      <c r="Q2" s="81" t="str">
        <f>""</f>
        <v/>
      </c>
      <c r="R2" s="81" t="str">
        <f>""</f>
        <v/>
      </c>
      <c r="S2" s="81" t="str">
        <f>""</f>
        <v/>
      </c>
      <c r="T2" s="81" t="str">
        <f>""</f>
        <v/>
      </c>
      <c r="U2" s="81" t="str">
        <f>""</f>
        <v/>
      </c>
      <c r="V2" s="81" t="str">
        <f>""</f>
        <v/>
      </c>
      <c r="W2" s="81" t="str">
        <f>""</f>
        <v/>
      </c>
      <c r="X2" s="81" t="str">
        <f>""</f>
        <v/>
      </c>
      <c r="Y2" s="81" t="str">
        <f>""</f>
        <v/>
      </c>
      <c r="Z2" s="81" t="str">
        <f>""</f>
        <v/>
      </c>
      <c r="AA2" s="81" t="str">
        <f>""</f>
        <v/>
      </c>
      <c r="AB2" s="82" t="str">
        <f>""</f>
        <v/>
      </c>
      <c r="AC2" s="81" t="s">
        <v>236</v>
      </c>
      <c r="AD2" s="129" t="str" cm="1">
        <f t="array" ref="AD2">INDEX(L:L,SMALL(IF(L2:L51&lt;&gt;"",ROW(2:51),52),ROW(L1)))&amp;""</f>
        <v>矮人</v>
      </c>
      <c r="AE2" s="81" t="e">
        <f>VLOOKUP(AG3,A2:B118,2,0)</f>
        <v>#N/A</v>
      </c>
      <c r="AF2" s="81" t="e">
        <f t="array" ref="AF2">INDEX(AE:AE,SMALL(IF(AE3:AE15&lt;&gt;"",ROW(3:15),16),ROW(AE1)))&amp;""</f>
        <v>#N/A</v>
      </c>
      <c r="AG2" s="130">
        <f>主要!O6</f>
        <v>1</v>
      </c>
      <c r="AH2" s="81" t="s">
        <v>4747</v>
      </c>
      <c r="AI2" s="81" t="s">
        <v>4748</v>
      </c>
      <c r="AJ2" s="82" t="s">
        <v>4749</v>
      </c>
      <c r="AK2" s="81" t="str">
        <f>IFERROR(IF(COUNTIF(AM2:AM15,AH6),"",AH6),"")</f>
        <v>属性值加成</v>
      </c>
      <c r="AL2" s="81" t="str" cm="1">
        <f t="array" ref="AL2">INDEX(AK:AK,SMALL(IF(AK2:AK17&lt;&gt;"",ROW(2:17),17),ROW(AK1)))&amp;""</f>
        <v>属性值加成</v>
      </c>
      <c r="AM2" s="77">
        <f>IF(主要!BT3="",0,主要!BT3)</f>
        <v>0</v>
      </c>
      <c r="AN2" s="76" t="str">
        <f>IFERROR(VLOOKUP(AM2,AH6:AI21,2,0),"")</f>
        <v/>
      </c>
      <c r="AO2" s="78" t="str">
        <f>IF(AM2=0,"",COUNTIF(AM2:AM15,AM2))</f>
        <v/>
      </c>
      <c r="AP2" s="76"/>
      <c r="AR2" s="66"/>
    </row>
    <row r="3" spans="1:44" ht="14.4" customHeight="1">
      <c r="A3" s="76" t="s">
        <v>157</v>
      </c>
      <c r="B3" s="76"/>
      <c r="C3" s="76">
        <v>6</v>
      </c>
      <c r="D3" s="76">
        <v>6</v>
      </c>
      <c r="E3" s="77" t="s">
        <v>158</v>
      </c>
      <c r="F3" s="79" t="s">
        <v>4755</v>
      </c>
      <c r="G3" s="79" t="str">
        <f>G2</f>
        <v>中型</v>
      </c>
      <c r="H3" s="79" t="s">
        <v>5310</v>
      </c>
      <c r="I3" s="79" t="str">
        <f t="shared" ref="I3:I5" si="0">I$2</f>
        <v>和矮人语</v>
      </c>
      <c r="J3" s="80" t="s">
        <v>5511</v>
      </c>
      <c r="K3" s="79"/>
      <c r="L3" s="77" t="s">
        <v>143</v>
      </c>
      <c r="M3" s="76" t="s">
        <v>144</v>
      </c>
      <c r="N3" s="76" t="s">
        <v>145</v>
      </c>
      <c r="O3" s="76" t="s">
        <v>4754</v>
      </c>
      <c r="P3" s="127" t="s">
        <v>5105</v>
      </c>
      <c r="Q3" s="127" t="s">
        <v>5108</v>
      </c>
      <c r="R3" s="127" t="s">
        <v>5107</v>
      </c>
      <c r="S3" s="128" t="s">
        <v>5106</v>
      </c>
      <c r="T3" s="132" t="s">
        <v>2950</v>
      </c>
      <c r="U3" s="133" t="s">
        <v>2949</v>
      </c>
      <c r="V3" s="81" t="str">
        <f>""</f>
        <v/>
      </c>
      <c r="W3" s="81" t="str">
        <f>""</f>
        <v/>
      </c>
      <c r="X3" s="81" t="str">
        <f>""</f>
        <v/>
      </c>
      <c r="Y3" s="81" t="str">
        <f>""</f>
        <v/>
      </c>
      <c r="Z3" s="81" t="str">
        <f>""</f>
        <v/>
      </c>
      <c r="AA3" s="81" t="str">
        <f>""</f>
        <v/>
      </c>
      <c r="AB3" s="82" t="str">
        <f>""</f>
        <v/>
      </c>
      <c r="AC3" s="81" t="s">
        <v>241</v>
      </c>
      <c r="AD3" s="129" t="str" cm="1">
        <f t="array" ref="AD3">INDEX(L:L,SMALL(IF(L2:L51&lt;&gt;"",ROW(2:51),52),ROW(L2)))&amp;""</f>
        <v>精灵</v>
      </c>
      <c r="AE3" s="81" t="e">
        <f>INDEX(M2:V51,AE2,1)</f>
        <v>#N/A</v>
      </c>
      <c r="AF3" s="81" t="e">
        <f t="array" ref="AF3">INDEX(AE:AE,SMALL(IF(AE3:AE15&lt;&gt;"",ROW(3:15),16),ROW(AE2)))&amp;""</f>
        <v>#N/A</v>
      </c>
      <c r="AG3" s="130">
        <f>IF(主要!T6="",0,主要!T6)</f>
        <v>0</v>
      </c>
      <c r="AH3" s="81" t="e">
        <f>IF(COUNTIF(AE13:AE15,AG4)=0,VLOOKUP(AG3,A:B,2,0)*2,VLOOKUP(AG4,A:B,2,0)*2)</f>
        <v>#N/A</v>
      </c>
      <c r="AJ3" s="82" t="e">
        <f>IF(COUNTIF(AE13:AE15,AG4)=0,VLOOKUP(AG3,A:D,4,0),VLOOKUP(AG4,A:D,4,0))</f>
        <v>#N/A</v>
      </c>
      <c r="AK3" s="81" t="str">
        <f>IFERROR(IF(COUNTIF(AM2:AM15,AH7),"",AH7),"")</f>
        <v>生物种类</v>
      </c>
      <c r="AL3" s="81" t="str" cm="1">
        <f t="array" ref="AL3">INDEX(AK:AK,SMALL(IF(AK2:AK17&lt;&gt;"",ROW(2:17),17),ROW(AK2)))&amp;""</f>
        <v>生物种类</v>
      </c>
      <c r="AM3" s="77">
        <f>IF(主要!BT4="",0,主要!BT4)</f>
        <v>0</v>
      </c>
      <c r="AN3" s="76" t="str">
        <f>IFERROR(VLOOKUP(AM3,AH6:AI21,2,0),"")</f>
        <v/>
      </c>
      <c r="AO3" s="78" t="str">
        <f>IF(AM3=0,"",COUNTIF(AM2:AM15,AM3))</f>
        <v/>
      </c>
      <c r="AP3" s="76"/>
      <c r="AR3" s="66"/>
    </row>
    <row r="4" spans="1:44" ht="14.4" customHeight="1">
      <c r="A4" s="76" t="s">
        <v>158</v>
      </c>
      <c r="B4" s="76"/>
      <c r="C4" s="76">
        <v>7</v>
      </c>
      <c r="D4" s="76">
        <v>7</v>
      </c>
      <c r="E4" s="86" t="s">
        <v>159</v>
      </c>
      <c r="F4" s="79" t="s">
        <v>4757</v>
      </c>
      <c r="G4" s="79" t="str">
        <f>G2</f>
        <v>中型</v>
      </c>
      <c r="H4" s="79" t="s">
        <v>5312</v>
      </c>
      <c r="I4" s="79" t="s">
        <v>4758</v>
      </c>
      <c r="J4" s="80" t="s">
        <v>5511</v>
      </c>
      <c r="K4" s="79"/>
      <c r="L4" s="77" t="s">
        <v>151</v>
      </c>
      <c r="M4" s="76" t="s">
        <v>152</v>
      </c>
      <c r="N4" s="76" t="s">
        <v>4756</v>
      </c>
      <c r="O4" s="96" t="s">
        <v>5109</v>
      </c>
      <c r="P4" s="128" t="s">
        <v>5110</v>
      </c>
      <c r="Q4" s="128" t="s">
        <v>5111</v>
      </c>
      <c r="R4" s="132" t="s">
        <v>3575</v>
      </c>
      <c r="S4" s="81" t="str">
        <f>""</f>
        <v/>
      </c>
      <c r="T4" s="81" t="str">
        <f>""</f>
        <v/>
      </c>
      <c r="U4" s="81" t="str">
        <f>""</f>
        <v/>
      </c>
      <c r="V4" s="81" t="str">
        <f>""</f>
        <v/>
      </c>
      <c r="W4" s="81" t="str">
        <f>""</f>
        <v/>
      </c>
      <c r="X4" s="81" t="str">
        <f>""</f>
        <v/>
      </c>
      <c r="Y4" s="81" t="str">
        <f>""</f>
        <v/>
      </c>
      <c r="Z4" s="81" t="str">
        <f>""</f>
        <v/>
      </c>
      <c r="AA4" s="81" t="str">
        <f>""</f>
        <v/>
      </c>
      <c r="AB4" s="82" t="str">
        <f>""</f>
        <v/>
      </c>
      <c r="AC4" s="81" t="s">
        <v>182</v>
      </c>
      <c r="AD4" s="129" t="str">
        <f t="array" ref="AD4">INDEX(L:L,SMALL(IF(L2:L51&lt;&gt;"",ROW(2:51),52),ROW(L3)))&amp;""</f>
        <v>半身人</v>
      </c>
      <c r="AE4" s="81" t="e">
        <f>INDEX(M2:V51,AE2,2)</f>
        <v>#N/A</v>
      </c>
      <c r="AF4" s="81" t="e">
        <f t="array" ref="AF4">INDEX(AE:AE,SMALL(IF(AE3:AE15&lt;&gt;"",ROW(3:15),16),ROW(AE3)))&amp;""</f>
        <v>#N/A</v>
      </c>
      <c r="AG4" s="130">
        <f>IF(主要!T7="",0,主要!T7)</f>
        <v>0</v>
      </c>
      <c r="AH4" s="81" t="e">
        <f>AH3-1</f>
        <v>#N/A</v>
      </c>
      <c r="AI4" s="81" t="e">
        <f>IF(COUNTIF(AE13:AE15,AG4)=0,VLOOKUP(AG4,A:C,3,0),0/0)</f>
        <v>#N/A</v>
      </c>
      <c r="AJ4" s="82" t="e">
        <f>VLOOKUP(AG4,A:D,4,0)</f>
        <v>#N/A</v>
      </c>
      <c r="AK4" s="81" t="str">
        <f>IFERROR(IF(COUNTIF(AM2:AM15,AH8),"",AH8),"")</f>
        <v>体型</v>
      </c>
      <c r="AL4" s="81" t="str" cm="1">
        <f t="array" ref="AL4">INDEX(AK:AK,SMALL(IF(AK2:AK17&lt;&gt;"",ROW(2:17),17),ROW(AK3)))&amp;""</f>
        <v>体型</v>
      </c>
      <c r="AM4" s="77">
        <f>IF(主要!BT5="",0,主要!BT5)</f>
        <v>0</v>
      </c>
      <c r="AN4" s="76" t="str">
        <f>IFERROR(VLOOKUP(AM4,AH6:AI21,2,0),"")</f>
        <v/>
      </c>
      <c r="AO4" s="78" t="str">
        <f>IF(AM4=0,"",COUNTIF(AM2:AM15,AM4))</f>
        <v/>
      </c>
      <c r="AP4" s="76"/>
      <c r="AR4" s="66"/>
    </row>
    <row r="5" spans="1:44" ht="14.4" customHeight="1">
      <c r="A5" s="127" t="s">
        <v>159</v>
      </c>
      <c r="B5" s="127"/>
      <c r="C5" s="127">
        <v>8</v>
      </c>
      <c r="D5" s="127">
        <f>IF(AG2&lt;3,9,10)</f>
        <v>9</v>
      </c>
      <c r="E5" s="90" t="s">
        <v>4760</v>
      </c>
      <c r="F5" s="79" t="s">
        <v>4761</v>
      </c>
      <c r="G5" s="79" t="str">
        <f>G2</f>
        <v>中型</v>
      </c>
      <c r="H5" s="79" t="s">
        <v>5518</v>
      </c>
      <c r="I5" s="79" t="str">
        <f t="shared" si="0"/>
        <v>和矮人语</v>
      </c>
      <c r="J5" s="80" t="s">
        <v>5511</v>
      </c>
      <c r="K5" s="79"/>
      <c r="L5" s="77" t="s">
        <v>139</v>
      </c>
      <c r="M5" s="76" t="s">
        <v>140</v>
      </c>
      <c r="N5" s="128" t="s">
        <v>5112</v>
      </c>
      <c r="O5" s="128" t="s">
        <v>5113</v>
      </c>
      <c r="P5" s="128" t="s">
        <v>5114</v>
      </c>
      <c r="Q5" s="128" t="s">
        <v>5115</v>
      </c>
      <c r="R5" s="128" t="s">
        <v>5116</v>
      </c>
      <c r="S5" s="76" t="str">
        <f>""</f>
        <v/>
      </c>
      <c r="T5" s="76" t="str">
        <f>""</f>
        <v/>
      </c>
      <c r="U5" s="76" t="str">
        <f>""</f>
        <v/>
      </c>
      <c r="V5" s="76" t="str">
        <f>""</f>
        <v/>
      </c>
      <c r="W5" s="76" t="str">
        <f>""</f>
        <v/>
      </c>
      <c r="X5" s="76" t="str">
        <f>""</f>
        <v/>
      </c>
      <c r="Y5" s="76" t="str">
        <f>""</f>
        <v/>
      </c>
      <c r="Z5" s="76" t="str">
        <f>""</f>
        <v/>
      </c>
      <c r="AA5" s="76" t="str">
        <f>""</f>
        <v/>
      </c>
      <c r="AB5" s="82" t="str">
        <f>""</f>
        <v/>
      </c>
      <c r="AC5" s="81" t="s">
        <v>254</v>
      </c>
      <c r="AD5" s="129" t="str">
        <f t="array" ref="AD5">INDEX(L:L,SMALL(IF(L2:L51&lt;&gt;"",ROW(2:51),52),ROW(L4)))&amp;""</f>
        <v>人类</v>
      </c>
      <c r="AE5" s="81" t="e">
        <f>INDEX(M2:V51,AE2,3)</f>
        <v>#N/A</v>
      </c>
      <c r="AF5" s="81" t="e">
        <f t="array" ref="AF5">INDEX(AE:AE,SMALL(IF(AE3:AE15&lt;&gt;"",ROW(3:15),16),ROW(AE4)))&amp;""</f>
        <v>#N/A</v>
      </c>
      <c r="AG5" s="134" t="s">
        <v>4759</v>
      </c>
      <c r="AH5" s="81" t="s">
        <v>76</v>
      </c>
      <c r="AI5" s="81" t="s">
        <v>132</v>
      </c>
      <c r="AJ5" s="82" t="s">
        <v>529</v>
      </c>
      <c r="AK5" s="81" t="str">
        <f>IFERROR(IF(COUNTIF(AM2:AM15,AH9),"",AH9),"")</f>
        <v>速度</v>
      </c>
      <c r="AL5" s="81" t="str" cm="1">
        <f t="array" ref="AL5">INDEX(AK:AK,SMALL(IF(AK2:AK17&lt;&gt;"",ROW(2:17),17),ROW(AK4)))&amp;""</f>
        <v>速度</v>
      </c>
      <c r="AM5" s="77">
        <f>IF(主要!BT6="",0,主要!BT6)</f>
        <v>0</v>
      </c>
      <c r="AN5" s="76" t="str">
        <f>IFERROR(VLOOKUP(AM5,AH6:AI21,2,0),"")</f>
        <v/>
      </c>
      <c r="AO5" s="78" t="str">
        <f>IF(AM5=0,"",COUNTIF(AM2:AM15,AM5))</f>
        <v/>
      </c>
      <c r="AP5" s="76"/>
      <c r="AR5" s="66"/>
    </row>
    <row r="6" spans="1:44" ht="14.4" customHeight="1">
      <c r="A6" s="128" t="s">
        <v>4760</v>
      </c>
      <c r="B6" s="128"/>
      <c r="C6" s="128">
        <v>11</v>
      </c>
      <c r="D6" s="128">
        <v>13</v>
      </c>
      <c r="E6" s="77" t="s">
        <v>144</v>
      </c>
      <c r="F6" s="79" t="s">
        <v>4762</v>
      </c>
      <c r="G6" s="79" t="s">
        <v>182</v>
      </c>
      <c r="H6" s="79" t="s">
        <v>5312</v>
      </c>
      <c r="I6" s="79" t="s">
        <v>4763</v>
      </c>
      <c r="J6" s="80" t="s">
        <v>5511</v>
      </c>
      <c r="K6" s="79"/>
      <c r="L6" s="77" t="s">
        <v>163</v>
      </c>
      <c r="M6" s="132" t="s">
        <v>5118</v>
      </c>
      <c r="N6" s="132" t="s">
        <v>5119</v>
      </c>
      <c r="O6" s="135" t="s">
        <v>5120</v>
      </c>
      <c r="P6" s="135" t="s">
        <v>5121</v>
      </c>
      <c r="Q6" s="135" t="s">
        <v>5117</v>
      </c>
      <c r="R6" s="81" t="str">
        <f>""</f>
        <v/>
      </c>
      <c r="S6" s="81" t="str">
        <f>""</f>
        <v/>
      </c>
      <c r="T6" s="81" t="str">
        <f>""</f>
        <v/>
      </c>
      <c r="U6" s="81" t="str">
        <f>""</f>
        <v/>
      </c>
      <c r="V6" s="81" t="str">
        <f>""</f>
        <v/>
      </c>
      <c r="W6" s="81" t="str">
        <f>""</f>
        <v/>
      </c>
      <c r="X6" s="81" t="str">
        <f>""</f>
        <v/>
      </c>
      <c r="Y6" s="81" t="str">
        <f>""</f>
        <v/>
      </c>
      <c r="Z6" s="81" t="str">
        <f>""</f>
        <v/>
      </c>
      <c r="AA6" s="81" t="str">
        <f>""</f>
        <v/>
      </c>
      <c r="AB6" s="82" t="str">
        <f>""</f>
        <v/>
      </c>
      <c r="AC6" s="81" t="s">
        <v>263</v>
      </c>
      <c r="AD6" s="129" t="str">
        <f t="array" ref="AD6">INDEX(L:L,SMALL(IF(L2:L51&lt;&gt;"",ROW(2:51),52),ROW(L5)))&amp;""</f>
        <v>龙裔</v>
      </c>
      <c r="AE6" s="81" t="e">
        <f>INDEX(M2:V51,AE2,4)</f>
        <v>#N/A</v>
      </c>
      <c r="AF6" s="81" t="e">
        <f t="array" ref="AF6">INDEX(AE:AE,SMALL(IF(AE3:AE15&lt;&gt;"",ROW(3:15),16),ROW(AE5)))&amp;""</f>
        <v>#N/A</v>
      </c>
      <c r="AG6" s="134"/>
      <c r="AH6" s="81" t="s">
        <v>4751</v>
      </c>
      <c r="AI6" s="81" t="e">
        <f>IF(AE18=0,"",IF(AG4=0,VLOOKUP(AG3,E:F,2,0),VLOOKUP(AG4,E:F,2,0)))</f>
        <v>#N/A</v>
      </c>
      <c r="AJ6" s="82"/>
      <c r="AK6" s="81" t="str">
        <f>IFERROR(IF(COUNTIF(AM2:AM15,AH10),"",AH10),"")</f>
        <v>语言</v>
      </c>
      <c r="AL6" s="81" t="str" cm="1">
        <f t="array" ref="AL6">INDEX(AK:AK,SMALL(IF(AK2:AK17&lt;&gt;"",ROW(2:17),17),ROW(AK5)))&amp;""</f>
        <v>语言</v>
      </c>
      <c r="AM6" s="77">
        <f>IF(主要!BT7="",0,主要!BT7)</f>
        <v>0</v>
      </c>
      <c r="AN6" s="76" t="str">
        <f>IFERROR(VLOOKUP(AM6,AH6:AI21,2,0),"")</f>
        <v/>
      </c>
      <c r="AO6" s="78" t="str">
        <f>IF(AM6=0,"",COUNTIF(AM2:AM15,AM6))</f>
        <v/>
      </c>
      <c r="AP6" s="76"/>
      <c r="AR6" s="66"/>
    </row>
    <row r="7" spans="1:44" ht="14.4" customHeight="1" thickBot="1">
      <c r="A7" s="131" t="s">
        <v>143</v>
      </c>
      <c r="B7" s="131">
        <v>2</v>
      </c>
      <c r="C7" s="131">
        <v>1</v>
      </c>
      <c r="D7" s="131">
        <v>3</v>
      </c>
      <c r="E7" s="77" t="s">
        <v>145</v>
      </c>
      <c r="F7" s="79" t="s">
        <v>4764</v>
      </c>
      <c r="G7" s="79" t="str">
        <f>G6</f>
        <v>中型</v>
      </c>
      <c r="H7" s="79" t="s">
        <v>5311</v>
      </c>
      <c r="I7" s="79" t="s">
        <v>4763</v>
      </c>
      <c r="J7" s="80" t="s">
        <v>5511</v>
      </c>
      <c r="K7" s="79"/>
      <c r="L7" s="77" t="s">
        <v>165</v>
      </c>
      <c r="M7" s="76" t="s">
        <v>167</v>
      </c>
      <c r="N7" s="76" t="s">
        <v>168</v>
      </c>
      <c r="O7" s="127" t="s">
        <v>5122</v>
      </c>
      <c r="P7" s="128" t="s">
        <v>5123</v>
      </c>
      <c r="Q7" s="81" t="str">
        <f>""</f>
        <v/>
      </c>
      <c r="R7" s="81" t="str">
        <f>""</f>
        <v/>
      </c>
      <c r="S7" s="81" t="str">
        <f>""</f>
        <v/>
      </c>
      <c r="T7" s="81" t="str">
        <f>""</f>
        <v/>
      </c>
      <c r="U7" s="81" t="str">
        <f>""</f>
        <v/>
      </c>
      <c r="V7" s="81" t="str">
        <f>""</f>
        <v/>
      </c>
      <c r="W7" s="81" t="str">
        <f>""</f>
        <v/>
      </c>
      <c r="X7" s="81" t="str">
        <f>""</f>
        <v/>
      </c>
      <c r="Y7" s="81" t="str">
        <f>""</f>
        <v/>
      </c>
      <c r="Z7" s="81" t="str">
        <f>""</f>
        <v/>
      </c>
      <c r="AA7" s="81" t="str">
        <f>""</f>
        <v/>
      </c>
      <c r="AB7" s="82" t="str">
        <f>""</f>
        <v/>
      </c>
      <c r="AC7" s="94" t="s">
        <v>268</v>
      </c>
      <c r="AD7" s="129" t="str">
        <f t="array" ref="AD7">INDEX(L:L,SMALL(IF(L2:L51&lt;&gt;"",ROW(2:51),52),ROW(L6)))&amp;""</f>
        <v>侏儒</v>
      </c>
      <c r="AE7" s="81" t="e">
        <f>INDEX(M2:V51,AE2,5)</f>
        <v>#N/A</v>
      </c>
      <c r="AF7" s="81" t="e">
        <f t="array" ref="AF7">INDEX(AE:AE,SMALL(IF(AE3:AE15&lt;&gt;"",ROW(3:15),16),ROW(AE6)))&amp;""</f>
        <v>#N/A</v>
      </c>
      <c r="AG7" s="134"/>
      <c r="AH7" s="171" t="s">
        <v>5584</v>
      </c>
      <c r="AI7" s="81" t="e">
        <f>IF(AE18=0,"",IF(AG4=0,VLOOKUP(AG3,E:J,6,0),VLOOKUP(AG4,E:J,6,0)))</f>
        <v>#N/A</v>
      </c>
      <c r="AJ7" s="82"/>
      <c r="AK7" s="81" t="str">
        <f>IFERROR(IF(OR(AH11="",COUNTIF(AM2:AM15,AH11)),"",AH11),"")</f>
        <v/>
      </c>
      <c r="AL7" s="81" t="str" cm="1">
        <f t="array" ref="AL7">INDEX(AK:AK,SMALL(IF(AK2:AK17&lt;&gt;"",ROW(2:17),17),ROW(AK6)))&amp;""</f>
        <v/>
      </c>
      <c r="AM7" s="77">
        <f>IF(主要!BT8="",0,主要!BT8)</f>
        <v>0</v>
      </c>
      <c r="AN7" s="76" t="str">
        <f>IFERROR(VLOOKUP(AM7,AH6:AI21,2,0),"")</f>
        <v/>
      </c>
      <c r="AO7" s="78" t="str">
        <f>IF(AM7=0,"",COUNTIF(AM2:AM15,AM7))</f>
        <v/>
      </c>
      <c r="AP7" s="76"/>
      <c r="AR7" s="66"/>
    </row>
    <row r="8" spans="1:44" ht="14.4" customHeight="1">
      <c r="A8" s="76" t="s">
        <v>144</v>
      </c>
      <c r="B8" s="76"/>
      <c r="C8" s="76">
        <v>4</v>
      </c>
      <c r="D8" s="76">
        <v>7</v>
      </c>
      <c r="E8" s="77" t="s">
        <v>4754</v>
      </c>
      <c r="F8" s="79" t="s">
        <v>4765</v>
      </c>
      <c r="G8" s="79" t="str">
        <f>G6</f>
        <v>中型</v>
      </c>
      <c r="H8" s="79" t="s">
        <v>5311</v>
      </c>
      <c r="I8" s="79" t="s">
        <v>5259</v>
      </c>
      <c r="J8" s="80" t="s">
        <v>5511</v>
      </c>
      <c r="K8" s="79"/>
      <c r="L8" s="77" t="s">
        <v>174</v>
      </c>
      <c r="M8" s="96" t="s">
        <v>5124</v>
      </c>
      <c r="N8" s="96" t="s">
        <v>5125</v>
      </c>
      <c r="O8" s="96" t="s">
        <v>5126</v>
      </c>
      <c r="P8" s="96" t="s">
        <v>5127</v>
      </c>
      <c r="Q8" s="96" t="s">
        <v>5128</v>
      </c>
      <c r="R8" s="128" t="s">
        <v>5129</v>
      </c>
      <c r="S8" s="128" t="s">
        <v>5130</v>
      </c>
      <c r="T8" s="81" t="str">
        <f>""</f>
        <v/>
      </c>
      <c r="U8" s="81" t="str">
        <f>""</f>
        <v/>
      </c>
      <c r="V8" s="81" t="str">
        <f>""</f>
        <v/>
      </c>
      <c r="W8" s="81" t="str">
        <f>""</f>
        <v/>
      </c>
      <c r="X8" s="81" t="str">
        <f>""</f>
        <v/>
      </c>
      <c r="Y8" s="81" t="str">
        <f>""</f>
        <v/>
      </c>
      <c r="Z8" s="81" t="str">
        <f>""</f>
        <v/>
      </c>
      <c r="AA8" s="81" t="str">
        <f>""</f>
        <v/>
      </c>
      <c r="AB8" s="82" t="str">
        <f>""</f>
        <v/>
      </c>
      <c r="AD8" s="129" t="str">
        <f t="array" ref="AD8">INDEX(L:L,SMALL(IF(L2:L51&lt;&gt;"",ROW(2:51),52),ROW(L7)))&amp;""</f>
        <v>半精灵</v>
      </c>
      <c r="AE8" s="81" t="e">
        <f>INDEX(M2:V51,AE2,6)</f>
        <v>#N/A</v>
      </c>
      <c r="AF8" s="81" t="e">
        <f t="array" ref="AF8">INDEX(AE:AE,SMALL(IF(AE3:AE15&lt;&gt;"",ROW(3:15),16),ROW(AE7)))&amp;""</f>
        <v>#N/A</v>
      </c>
      <c r="AG8" s="134"/>
      <c r="AH8" s="81" t="s">
        <v>67</v>
      </c>
      <c r="AI8" s="81" t="e">
        <f>IF(AE18=0,"",IF(AG4=0,VLOOKUP(AG3,E:G,3,0),VLOOKUP(AG4,E:G,3,0)))</f>
        <v>#N/A</v>
      </c>
      <c r="AJ8" s="82"/>
      <c r="AK8" s="81" t="str">
        <f>IFERROR(IF(OR(AH12="",COUNTIF(AM2:AM15,AH12)),"",AH12),"")</f>
        <v/>
      </c>
      <c r="AL8" s="81" t="str" cm="1">
        <f t="array" ref="AL8">INDEX(AK:AK,SMALL(IF(AK2:AK17&lt;&gt;"",ROW(2:17),17),ROW(AK7)))&amp;""</f>
        <v/>
      </c>
      <c r="AM8" s="77">
        <f>IF(主要!BT9="",0,主要!BT9)</f>
        <v>0</v>
      </c>
      <c r="AN8" s="76" t="str">
        <f>IFERROR(VLOOKUP(AM8,AH6:AI21,2,0),"")</f>
        <v/>
      </c>
      <c r="AO8" s="78" t="str">
        <f>IF(AM8=0,"",COUNTIF(AM2:AM15,AM8))</f>
        <v/>
      </c>
      <c r="AP8" s="76"/>
    </row>
    <row r="9" spans="1:44" ht="14.4" customHeight="1">
      <c r="A9" s="76" t="s">
        <v>145</v>
      </c>
      <c r="B9" s="76"/>
      <c r="C9" s="76">
        <v>8</v>
      </c>
      <c r="D9" s="76">
        <v>11</v>
      </c>
      <c r="E9" s="86" t="s">
        <v>148</v>
      </c>
      <c r="F9" s="79" t="s">
        <v>4757</v>
      </c>
      <c r="G9" s="79" t="str">
        <f>G6</f>
        <v>中型</v>
      </c>
      <c r="H9" s="79" t="s">
        <v>5311</v>
      </c>
      <c r="I9" s="79" t="s">
        <v>4758</v>
      </c>
      <c r="J9" s="80" t="s">
        <v>5511</v>
      </c>
      <c r="K9" s="79"/>
      <c r="L9" s="77" t="s">
        <v>179</v>
      </c>
      <c r="M9" s="128" t="s">
        <v>5112</v>
      </c>
      <c r="N9" s="76" t="str">
        <f>""</f>
        <v/>
      </c>
      <c r="O9" s="76" t="str">
        <f>""</f>
        <v/>
      </c>
      <c r="P9" s="76" t="str">
        <f>""</f>
        <v/>
      </c>
      <c r="Q9" s="76" t="str">
        <f>""</f>
        <v/>
      </c>
      <c r="R9" s="76" t="str">
        <f>""</f>
        <v/>
      </c>
      <c r="S9" s="76" t="str">
        <f>""</f>
        <v/>
      </c>
      <c r="T9" s="76" t="str">
        <f>""</f>
        <v/>
      </c>
      <c r="U9" s="76" t="str">
        <f>""</f>
        <v/>
      </c>
      <c r="V9" s="76" t="str">
        <f>""</f>
        <v/>
      </c>
      <c r="W9" s="76" t="str">
        <f>""</f>
        <v/>
      </c>
      <c r="X9" s="76" t="str">
        <f>""</f>
        <v/>
      </c>
      <c r="Y9" s="76" t="str">
        <f>""</f>
        <v/>
      </c>
      <c r="Z9" s="76" t="str">
        <f>""</f>
        <v/>
      </c>
      <c r="AA9" s="76" t="str">
        <f>""</f>
        <v/>
      </c>
      <c r="AB9" s="82" t="str">
        <f>""</f>
        <v/>
      </c>
      <c r="AD9" s="129" t="str">
        <f t="array" ref="AD9">INDEX(L:L,SMALL(IF(L2:L51&lt;&gt;"",ROW(2:51),52),ROW(L8)))&amp;""</f>
        <v>半兽人</v>
      </c>
      <c r="AE9" s="81" t="e">
        <f>INDEX(M2:V51,AE2,7)</f>
        <v>#N/A</v>
      </c>
      <c r="AF9" s="81" t="e">
        <f t="array" ref="AF9">INDEX(AE:AE,SMALL(IF(AE3:AE15&lt;&gt;"",ROW(3:15),16),ROW(AE8)))&amp;""</f>
        <v>#N/A</v>
      </c>
      <c r="AG9" s="134"/>
      <c r="AH9" s="81" t="s">
        <v>68</v>
      </c>
      <c r="AI9" s="81" t="e">
        <f>IF(AE18=0,"",IF(AG4=0,VLOOKUP(AG3,E:H,4,0),VLOOKUP(AG4,E:H,4,0)))</f>
        <v>#N/A</v>
      </c>
      <c r="AJ9" s="82"/>
      <c r="AK9" s="81" t="str">
        <f>IFERROR(IF(OR(AH13="",COUNTIF(AM2:AM15,AH13)),"",AH13),"")</f>
        <v/>
      </c>
      <c r="AL9" s="81" t="str" cm="1">
        <f t="array" ref="AL9">INDEX(AK:AK,SMALL(IF(AK2:AK17&lt;&gt;"",ROW(2:17),17),ROW(AK8)))&amp;""</f>
        <v/>
      </c>
      <c r="AM9" s="77">
        <f>IF(主要!BT10="",0,主要!BT10)</f>
        <v>0</v>
      </c>
      <c r="AN9" s="76" t="str">
        <f>IFERROR(VLOOKUP(AM9,AH6:AI21,2,0),"")</f>
        <v/>
      </c>
      <c r="AO9" s="78" t="str">
        <f>IF(AM9=0,"",COUNTIF(AM2:AM15,AM9))</f>
        <v/>
      </c>
      <c r="AP9" s="76"/>
    </row>
    <row r="10" spans="1:44" ht="14.4" customHeight="1">
      <c r="A10" s="76" t="s">
        <v>4754</v>
      </c>
      <c r="B10" s="76"/>
      <c r="C10" s="76">
        <v>12</v>
      </c>
      <c r="D10" s="76">
        <v>16</v>
      </c>
      <c r="E10" s="86" t="s">
        <v>146</v>
      </c>
      <c r="F10" s="79" t="str">
        <f>F9</f>
        <v>自选两项属性分别+2/+1或自选三项属性+1</v>
      </c>
      <c r="G10" s="79" t="str">
        <f>G6</f>
        <v>中型</v>
      </c>
      <c r="H10" s="218" t="s">
        <v>5517</v>
      </c>
      <c r="I10" s="79" t="s">
        <v>4758</v>
      </c>
      <c r="J10" s="80" t="s">
        <v>5511</v>
      </c>
      <c r="K10" s="79"/>
      <c r="L10" s="77" t="s">
        <v>187</v>
      </c>
      <c r="M10" s="96" t="s">
        <v>5131</v>
      </c>
      <c r="N10" s="127" t="s">
        <v>5132</v>
      </c>
      <c r="O10" s="127" t="s">
        <v>5133</v>
      </c>
      <c r="P10" s="127" t="s">
        <v>5134</v>
      </c>
      <c r="Q10" s="127" t="s">
        <v>5135</v>
      </c>
      <c r="R10" s="127" t="s">
        <v>5136</v>
      </c>
      <c r="S10" s="127" t="s">
        <v>5137</v>
      </c>
      <c r="T10" s="127" t="s">
        <v>5138</v>
      </c>
      <c r="U10" s="127" t="s">
        <v>5139</v>
      </c>
      <c r="V10" s="81" t="str">
        <f>""</f>
        <v/>
      </c>
      <c r="W10" s="81" t="str">
        <f>""</f>
        <v/>
      </c>
      <c r="X10" s="81" t="str">
        <f>""</f>
        <v/>
      </c>
      <c r="Y10" s="81" t="str">
        <f>""</f>
        <v/>
      </c>
      <c r="Z10" s="81" t="str">
        <f>""</f>
        <v/>
      </c>
      <c r="AA10" s="81" t="str">
        <f>""</f>
        <v/>
      </c>
      <c r="AB10" s="82" t="str">
        <f>""</f>
        <v/>
      </c>
      <c r="AD10" s="129" t="str">
        <f t="array" ref="AD10">INDEX(L:L,SMALL(IF(L2:L51&lt;&gt;"",ROW(2:51),52),ROW(L9)))&amp;""</f>
        <v>提夫林</v>
      </c>
      <c r="AE10" s="81" t="e">
        <f>INDEX(M2:V51,AE2,8)</f>
        <v>#N/A</v>
      </c>
      <c r="AF10" s="81" t="e">
        <f t="array" ref="AF10">INDEX(AE:AE,SMALL(IF(AE3:AE15&lt;&gt;"",ROW(3:15),16),ROW(AE9)))&amp;""</f>
        <v>#N/A</v>
      </c>
      <c r="AG10" s="134"/>
      <c r="AH10" s="81" t="s">
        <v>129</v>
      </c>
      <c r="AI10" s="81" t="e">
        <f>IF(AE18=0,"","能说、读、写通用语"&amp;IF(AG4=0,VLOOKUP(AG3,E:I,5,0),VLOOKUP(AG4,E:I,5,0)))</f>
        <v>#N/A</v>
      </c>
      <c r="AJ10" s="82"/>
      <c r="AK10" s="81" t="str">
        <f>IFERROR(IF(OR(AH14="",COUNTIF(AM2:AM15,AH14)),"",AH14),"")</f>
        <v/>
      </c>
      <c r="AL10" s="81" t="str" cm="1">
        <f t="array" ref="AL10">INDEX(AK:AK,SMALL(IF(AK2:AK17&lt;&gt;"",ROW(2:17),17),ROW(AK9)))&amp;""</f>
        <v/>
      </c>
      <c r="AM10" s="77">
        <f>IF(主要!BT11="",0,主要!BT11)</f>
        <v>0</v>
      </c>
      <c r="AN10" s="76" t="str">
        <f>IFERROR(VLOOKUP(AM10,AH6:AI21,2,0),"")</f>
        <v/>
      </c>
      <c r="AO10" s="78" t="str">
        <f>IF(AM10=0,"",COUNTIF(AM2:AM15,AM10))</f>
        <v/>
      </c>
      <c r="AP10" s="76"/>
    </row>
    <row r="11" spans="1:44" ht="14.4" customHeight="1">
      <c r="A11" s="127" t="s">
        <v>148</v>
      </c>
      <c r="B11" s="127"/>
      <c r="C11" s="127">
        <v>17</v>
      </c>
      <c r="D11" s="127">
        <v>18</v>
      </c>
      <c r="E11" s="86" t="s">
        <v>147</v>
      </c>
      <c r="F11" s="79" t="str">
        <f>F9</f>
        <v>自选两项属性分别+2/+1或自选三项属性+1</v>
      </c>
      <c r="G11" s="79" t="str">
        <f>G6</f>
        <v>中型</v>
      </c>
      <c r="H11" s="79" t="s">
        <v>5311</v>
      </c>
      <c r="I11" s="79" t="s">
        <v>4758</v>
      </c>
      <c r="J11" s="80" t="s">
        <v>5511</v>
      </c>
      <c r="K11" s="79"/>
      <c r="L11" s="85" t="s">
        <v>5140</v>
      </c>
      <c r="M11" s="81" t="str">
        <f>""</f>
        <v/>
      </c>
      <c r="N11" s="81" t="str">
        <f>""</f>
        <v/>
      </c>
      <c r="O11" s="81" t="str">
        <f>""</f>
        <v/>
      </c>
      <c r="P11" s="81" t="str">
        <f>""</f>
        <v/>
      </c>
      <c r="Q11" s="81" t="str">
        <f>""</f>
        <v/>
      </c>
      <c r="R11" s="81" t="str">
        <f>""</f>
        <v/>
      </c>
      <c r="S11" s="81" t="str">
        <f>""</f>
        <v/>
      </c>
      <c r="T11" s="81" t="str">
        <f>""</f>
        <v/>
      </c>
      <c r="U11" s="81" t="str">
        <f>""</f>
        <v/>
      </c>
      <c r="V11" s="81" t="str">
        <f>""</f>
        <v/>
      </c>
      <c r="W11" s="81" t="str">
        <f>""</f>
        <v/>
      </c>
      <c r="X11" s="81" t="str">
        <f>""</f>
        <v/>
      </c>
      <c r="Y11" s="81" t="str">
        <f>""</f>
        <v/>
      </c>
      <c r="Z11" s="81" t="str">
        <f>""</f>
        <v/>
      </c>
      <c r="AA11" s="81" t="str">
        <f>""</f>
        <v/>
      </c>
      <c r="AB11" s="82" t="str">
        <f>""</f>
        <v/>
      </c>
      <c r="AD11" s="129" t="str">
        <f t="array" ref="AD11">INDEX(L:L,SMALL(IF(L2:L51&lt;&gt;"",ROW(2:51),52),ROW(L10)))&amp;""</f>
        <v>阿斯莫</v>
      </c>
      <c r="AE11" s="81" t="e">
        <f>INDEX(M2:V51,AE2,9)</f>
        <v>#N/A</v>
      </c>
      <c r="AF11" s="81" t="e">
        <f t="array" ref="AF11">INDEX(AE:AE,SMALL(IF(AE3:AE15&lt;&gt;"",ROW(3:15),16),ROW(AE10)))&amp;""</f>
        <v>#N/A</v>
      </c>
      <c r="AG11" s="134" t="e">
        <f>IF(AG10+1&gt;AJ3,IF(AI4+AJ10&gt;AJ4,"",AI4+AJ10),AG10+1)</f>
        <v>#N/A</v>
      </c>
      <c r="AH11" s="81" t="e">
        <f>INDEX(M54:AW159,AH4,AG11)</f>
        <v>#N/A</v>
      </c>
      <c r="AI11" s="81" t="e">
        <f>INDEX(M54:AW159,AH3,AG11)</f>
        <v>#N/A</v>
      </c>
      <c r="AJ11" s="82" t="e">
        <f>IF(AG9+1&gt;AJ3,AJ9+1,0)</f>
        <v>#N/A</v>
      </c>
      <c r="AK11" s="81" t="str">
        <f>IFERROR(IF(OR(AH15="",COUNTIF(AM2:AM15,AH15)),"",AH15),"")</f>
        <v/>
      </c>
      <c r="AL11" s="81" t="str" cm="1">
        <f t="array" ref="AL11">INDEX(AK:AK,SMALL(IF(AK2:AK17&lt;&gt;"",ROW(2:17),17),ROW(AK10)))&amp;""</f>
        <v/>
      </c>
      <c r="AM11" s="77">
        <f>IF(主要!BT12="",0,主要!BT12)</f>
        <v>0</v>
      </c>
      <c r="AN11" s="76" t="str">
        <f>IFERROR(VLOOKUP(AM11,AH7:AI22,2,0),"")</f>
        <v/>
      </c>
      <c r="AO11" s="78" t="str">
        <f>IF(AM11=0,"",COUNTIF(AM3:AM16,AM11))</f>
        <v/>
      </c>
      <c r="AP11" s="76"/>
    </row>
    <row r="12" spans="1:44" ht="14.4" customHeight="1">
      <c r="A12" s="127" t="s">
        <v>146</v>
      </c>
      <c r="B12" s="127"/>
      <c r="C12" s="127">
        <v>19</v>
      </c>
      <c r="D12" s="127">
        <v>21</v>
      </c>
      <c r="E12" s="90" t="s">
        <v>4766</v>
      </c>
      <c r="F12" s="79" t="s">
        <v>4765</v>
      </c>
      <c r="G12" s="79" t="str">
        <f>G6</f>
        <v>中型</v>
      </c>
      <c r="H12" s="79" t="s">
        <v>5311</v>
      </c>
      <c r="I12" s="79" t="s">
        <v>4763</v>
      </c>
      <c r="J12" s="80" t="s">
        <v>5511</v>
      </c>
      <c r="K12" s="79"/>
      <c r="L12" s="85" t="s">
        <v>5141</v>
      </c>
      <c r="M12" s="81" t="str">
        <f>""</f>
        <v/>
      </c>
      <c r="N12" s="81" t="str">
        <f>""</f>
        <v/>
      </c>
      <c r="O12" s="81" t="str">
        <f>""</f>
        <v/>
      </c>
      <c r="P12" s="81" t="str">
        <f>""</f>
        <v/>
      </c>
      <c r="Q12" s="81" t="str">
        <f>""</f>
        <v/>
      </c>
      <c r="R12" s="81" t="str">
        <f>""</f>
        <v/>
      </c>
      <c r="S12" s="81" t="str">
        <f>""</f>
        <v/>
      </c>
      <c r="T12" s="81" t="str">
        <f>""</f>
        <v/>
      </c>
      <c r="U12" s="81" t="str">
        <f>""</f>
        <v/>
      </c>
      <c r="V12" s="81" t="str">
        <f>""</f>
        <v/>
      </c>
      <c r="W12" s="81" t="str">
        <f>""</f>
        <v/>
      </c>
      <c r="X12" s="81" t="str">
        <f>""</f>
        <v/>
      </c>
      <c r="Y12" s="81" t="str">
        <f>""</f>
        <v/>
      </c>
      <c r="Z12" s="81" t="str">
        <f>""</f>
        <v/>
      </c>
      <c r="AA12" s="81" t="str">
        <f>""</f>
        <v/>
      </c>
      <c r="AB12" s="82" t="str">
        <f>""</f>
        <v/>
      </c>
      <c r="AD12" s="129" t="str">
        <f t="array" ref="AD12">INDEX(L:L,SMALL(IF(L2:L51&lt;&gt;"",ROW(2:51),52),ROW(L11)))&amp;""</f>
        <v>费尔伯格人</v>
      </c>
      <c r="AE12" s="81" t="e">
        <f>INDEX(M2:V51,AE2,10)</f>
        <v>#N/A</v>
      </c>
      <c r="AF12" s="81" t="e">
        <f t="array" ref="AF12">INDEX(AE:AE,SMALL(IF(AE3:AE15&lt;&gt;"",ROW(3:15),16),ROW(AE11)))&amp;""</f>
        <v>#N/A</v>
      </c>
      <c r="AG12" s="134" t="e">
        <f>IF(AG11+1&gt;AJ3,IF(AI4+AJ11&gt;AJ4,"",AI4+AJ11),AG11+1)</f>
        <v>#N/A</v>
      </c>
      <c r="AH12" s="81" t="e">
        <f>INDEX(M54:AW159,AH4,AG12)</f>
        <v>#N/A</v>
      </c>
      <c r="AI12" s="81" t="e">
        <f>INDEX(M54:AW159,AH3,AG12)</f>
        <v>#N/A</v>
      </c>
      <c r="AJ12" s="82" t="e">
        <f>IF(AG11+1&gt;AJ3,AJ11+1,0)</f>
        <v>#N/A</v>
      </c>
      <c r="AK12" s="81" t="str">
        <f>IFERROR(IF(OR(AH16="",COUNTIF(AM2:AM15,AH16)),"",AH16),"")</f>
        <v/>
      </c>
      <c r="AL12" s="81" t="str" cm="1">
        <f t="array" ref="AL12">INDEX(AK:AK,SMALL(IF(AK2:AK17&lt;&gt;"",ROW(2:17),17),ROW(AK11)))&amp;""</f>
        <v/>
      </c>
      <c r="AM12" s="77">
        <f>IF(主要!BT13="",0,主要!BT13)</f>
        <v>0</v>
      </c>
      <c r="AN12" s="76" t="str">
        <f t="shared" ref="AN12:AN14" si="1">IFERROR(VLOOKUP(AM12,AH8:AI23,2,0),"")</f>
        <v/>
      </c>
      <c r="AO12" s="78" t="str">
        <f t="shared" ref="AO12:AO14" si="2">IF(AM12=0,"",COUNTIF(AM4:AM17,AM12))</f>
        <v/>
      </c>
      <c r="AP12" s="76"/>
    </row>
    <row r="13" spans="1:44" ht="14.4" customHeight="1">
      <c r="A13" s="127" t="s">
        <v>147</v>
      </c>
      <c r="B13" s="127"/>
      <c r="C13" s="127">
        <v>22</v>
      </c>
      <c r="D13" s="127">
        <v>24</v>
      </c>
      <c r="E13" s="91" t="s">
        <v>4767</v>
      </c>
      <c r="F13" s="79" t="s">
        <v>4764</v>
      </c>
      <c r="G13" s="79" t="str">
        <f>G6</f>
        <v>中型</v>
      </c>
      <c r="H13" s="79" t="s">
        <v>5311</v>
      </c>
      <c r="I13" s="79" t="s">
        <v>4763</v>
      </c>
      <c r="J13" s="80" t="s">
        <v>5511</v>
      </c>
      <c r="K13" s="79"/>
      <c r="L13" s="85" t="s">
        <v>5142</v>
      </c>
      <c r="M13" s="81" t="str">
        <f>""</f>
        <v/>
      </c>
      <c r="N13" s="81" t="str">
        <f>""</f>
        <v/>
      </c>
      <c r="O13" s="81" t="str">
        <f>""</f>
        <v/>
      </c>
      <c r="P13" s="81" t="str">
        <f>""</f>
        <v/>
      </c>
      <c r="Q13" s="81" t="str">
        <f>""</f>
        <v/>
      </c>
      <c r="R13" s="81" t="str">
        <f>""</f>
        <v/>
      </c>
      <c r="S13" s="81" t="str">
        <f>""</f>
        <v/>
      </c>
      <c r="T13" s="81" t="str">
        <f>""</f>
        <v/>
      </c>
      <c r="U13" s="81" t="str">
        <f>""</f>
        <v/>
      </c>
      <c r="V13" s="81" t="str">
        <f>""</f>
        <v/>
      </c>
      <c r="W13" s="81" t="str">
        <f>""</f>
        <v/>
      </c>
      <c r="X13" s="81" t="str">
        <f>""</f>
        <v/>
      </c>
      <c r="Y13" s="81" t="str">
        <f>""</f>
        <v/>
      </c>
      <c r="Z13" s="81" t="str">
        <f>""</f>
        <v/>
      </c>
      <c r="AA13" s="81" t="str">
        <f>""</f>
        <v/>
      </c>
      <c r="AB13" s="82" t="str">
        <f>""</f>
        <v/>
      </c>
      <c r="AD13" s="129" t="str">
        <f t="array" ref="AD13">INDEX(L:L,SMALL(IF(L2:L51&lt;&gt;"",ROW(2:51),52),ROW(L12)))&amp;""</f>
        <v>歌利亚</v>
      </c>
      <c r="AE13" s="283" t="s">
        <v>5942</v>
      </c>
      <c r="AF13" s="81" t="e">
        <f t="array" ref="AF13">INDEX(AE:AE,SMALL(IF(AE3:AE15&lt;&gt;"",ROW(3:15),16),ROW(AE12)))&amp;""</f>
        <v>#N/A</v>
      </c>
      <c r="AG13" s="134" t="e">
        <f>IF(AG12+1&gt;AJ3,IF(AI4+AJ12&gt;AJ4,"",AI4+AJ12),AG12+1)</f>
        <v>#N/A</v>
      </c>
      <c r="AH13" s="81" t="e">
        <f>INDEX(M54:AW159,AH4,AG13)</f>
        <v>#N/A</v>
      </c>
      <c r="AI13" s="81" t="e">
        <f>INDEX(M54:AW159,AH3,AG13)</f>
        <v>#N/A</v>
      </c>
      <c r="AJ13" s="82" t="e">
        <f>IF(AG12+1&gt;AJ3,AJ12+1,0)</f>
        <v>#N/A</v>
      </c>
      <c r="AK13" s="81" t="str">
        <f>IFERROR(IF(OR(AH17="",COUNTIF(AM2:AM15,AH17)),"",AH17),"")</f>
        <v/>
      </c>
      <c r="AL13" s="81" t="str" cm="1">
        <f t="array" ref="AL13">INDEX(AK:AK,SMALL(IF(AK2:AK17&lt;&gt;"",ROW(2:17),17),ROW(AK12)))&amp;""</f>
        <v/>
      </c>
      <c r="AM13" s="77">
        <f>IF(主要!BT14="",0,主要!BT14)</f>
        <v>0</v>
      </c>
      <c r="AN13" s="76" t="str">
        <f t="shared" si="1"/>
        <v/>
      </c>
      <c r="AO13" s="78" t="str">
        <f t="shared" si="2"/>
        <v/>
      </c>
      <c r="AP13" s="76"/>
    </row>
    <row r="14" spans="1:44" ht="14.4" customHeight="1">
      <c r="A14" s="128" t="s">
        <v>4766</v>
      </c>
      <c r="B14" s="128"/>
      <c r="C14" s="128">
        <v>25</v>
      </c>
      <c r="D14" s="128">
        <v>28</v>
      </c>
      <c r="E14" s="77" t="s">
        <v>152</v>
      </c>
      <c r="F14" s="79" t="s">
        <v>4765</v>
      </c>
      <c r="G14" s="79" t="s">
        <v>241</v>
      </c>
      <c r="H14" s="79" t="s">
        <v>5313</v>
      </c>
      <c r="I14" s="79" t="s">
        <v>4768</v>
      </c>
      <c r="J14" s="80" t="s">
        <v>5511</v>
      </c>
      <c r="K14" s="79"/>
      <c r="L14" s="85" t="s">
        <v>5143</v>
      </c>
      <c r="M14" s="81" t="str">
        <f>""</f>
        <v/>
      </c>
      <c r="N14" s="81" t="str">
        <f>""</f>
        <v/>
      </c>
      <c r="O14" s="81" t="str">
        <f>""</f>
        <v/>
      </c>
      <c r="P14" s="81" t="str">
        <f>""</f>
        <v/>
      </c>
      <c r="Q14" s="81" t="str">
        <f>""</f>
        <v/>
      </c>
      <c r="R14" s="81" t="str">
        <f>""</f>
        <v/>
      </c>
      <c r="S14" s="81" t="str">
        <f>""</f>
        <v/>
      </c>
      <c r="T14" s="81" t="str">
        <f>""</f>
        <v/>
      </c>
      <c r="U14" s="81" t="str">
        <f>""</f>
        <v/>
      </c>
      <c r="V14" s="81" t="str">
        <f>""</f>
        <v/>
      </c>
      <c r="W14" s="81" t="str">
        <f>""</f>
        <v/>
      </c>
      <c r="X14" s="81" t="str">
        <f>""</f>
        <v/>
      </c>
      <c r="Y14" s="81" t="str">
        <f>""</f>
        <v/>
      </c>
      <c r="Z14" s="81" t="str">
        <f>""</f>
        <v/>
      </c>
      <c r="AA14" s="81" t="str">
        <f>""</f>
        <v/>
      </c>
      <c r="AB14" s="82" t="str">
        <f>""</f>
        <v/>
      </c>
      <c r="AD14" s="129" t="str">
        <f t="array" ref="AD14">INDEX(L:L,SMALL(IF(L2:L51&lt;&gt;"",ROW(2:51),52),ROW(L13)))&amp;""</f>
        <v>天狗</v>
      </c>
      <c r="AE14" s="283" t="s">
        <v>5943</v>
      </c>
      <c r="AF14" s="81" t="e">
        <f t="array" ref="AF14">INDEX(AE:AE,SMALL(IF(AE3:AE15&lt;&gt;"",ROW(3:15),16),ROW(AE13)))&amp;""</f>
        <v>#N/A</v>
      </c>
      <c r="AG14" s="134" t="e">
        <f>IF(AG13+1&gt;AJ3,IF(AI4+AJ13&gt;AJ4,"",AI4+AJ13),AG13+1)</f>
        <v>#N/A</v>
      </c>
      <c r="AH14" s="81" t="e">
        <f>INDEX(M54:AW159,AH4,AG14)</f>
        <v>#N/A</v>
      </c>
      <c r="AI14" s="81" t="e">
        <f>INDEX(M54:AW159,AH3,AG14)</f>
        <v>#N/A</v>
      </c>
      <c r="AJ14" s="82" t="e">
        <f>IF(AG13+1&gt;AJ3,AJ13+1,0)</f>
        <v>#N/A</v>
      </c>
      <c r="AK14" s="81" t="str">
        <f>IFERROR(IF(OR(AH18="",COUNTIF(AM2:AM15,AH18)),"",AH18),"")</f>
        <v/>
      </c>
      <c r="AL14" s="81" t="str" cm="1">
        <f t="array" ref="AL14">INDEX(AK:AK,SMALL(IF(AK2:AK17&lt;&gt;"",ROW(2:17),17),ROW(AK13)))&amp;""</f>
        <v/>
      </c>
      <c r="AM14" s="77">
        <f>IF(主要!BT15="",0,主要!BT15)</f>
        <v>0</v>
      </c>
      <c r="AN14" s="76" t="str">
        <f t="shared" si="1"/>
        <v/>
      </c>
      <c r="AO14" s="78" t="str">
        <f t="shared" si="2"/>
        <v/>
      </c>
      <c r="AP14" s="76"/>
    </row>
    <row r="15" spans="1:44" ht="14.4" customHeight="1">
      <c r="A15" s="132" t="s">
        <v>4767</v>
      </c>
      <c r="B15" s="132"/>
      <c r="C15" s="132">
        <v>29</v>
      </c>
      <c r="D15" s="132">
        <v>31</v>
      </c>
      <c r="E15" s="77" t="s">
        <v>4756</v>
      </c>
      <c r="F15" s="79" t="s">
        <v>4771</v>
      </c>
      <c r="G15" s="79" t="str">
        <f>G14</f>
        <v>小型</v>
      </c>
      <c r="H15" s="79" t="s">
        <v>5519</v>
      </c>
      <c r="I15" s="79" t="s">
        <v>4768</v>
      </c>
      <c r="J15" s="80" t="s">
        <v>5511</v>
      </c>
      <c r="K15" s="79"/>
      <c r="L15" s="85" t="s">
        <v>5144</v>
      </c>
      <c r="M15" s="81" t="str">
        <f>""</f>
        <v/>
      </c>
      <c r="N15" s="81" t="str">
        <f>""</f>
        <v/>
      </c>
      <c r="O15" s="81" t="str">
        <f>""</f>
        <v/>
      </c>
      <c r="P15" s="81" t="str">
        <f>""</f>
        <v/>
      </c>
      <c r="Q15" s="81" t="str">
        <f>""</f>
        <v/>
      </c>
      <c r="R15" s="81" t="str">
        <f>""</f>
        <v/>
      </c>
      <c r="S15" s="81" t="str">
        <f>""</f>
        <v/>
      </c>
      <c r="T15" s="81" t="str">
        <f>""</f>
        <v/>
      </c>
      <c r="U15" s="81" t="str">
        <f>""</f>
        <v/>
      </c>
      <c r="V15" s="81" t="str">
        <f>""</f>
        <v/>
      </c>
      <c r="W15" s="81" t="str">
        <f>""</f>
        <v/>
      </c>
      <c r="X15" s="81" t="str">
        <f>""</f>
        <v/>
      </c>
      <c r="Y15" s="81" t="str">
        <f>""</f>
        <v/>
      </c>
      <c r="Z15" s="81" t="str">
        <f>""</f>
        <v/>
      </c>
      <c r="AA15" s="81" t="str">
        <f>""</f>
        <v/>
      </c>
      <c r="AB15" s="82" t="str">
        <f>""</f>
        <v/>
      </c>
      <c r="AD15" s="129" t="str">
        <f t="array" ref="AD15">INDEX(L:L,SMALL(IF(L2:L51&lt;&gt;"",ROW(2:51),52),ROW(L14)))&amp;""</f>
        <v>蜥蜴人</v>
      </c>
      <c r="AE15" s="283" t="s">
        <v>5944</v>
      </c>
      <c r="AG15" s="134" t="e">
        <f>IF(AG14+1&gt;AJ3,IF(AI4+AJ14&gt;AJ4,"",AI4+AJ14),AG14+1)</f>
        <v>#N/A</v>
      </c>
      <c r="AH15" s="81" t="e">
        <f>INDEX(M54:AW159,AH4,AG15)</f>
        <v>#N/A</v>
      </c>
      <c r="AI15" s="81" t="e">
        <f>INDEX(M54:AW159,AH3,AG15)</f>
        <v>#N/A</v>
      </c>
      <c r="AJ15" s="82" t="e">
        <f>IF(AG14+1&gt;AJ3,AJ14+1,0)</f>
        <v>#N/A</v>
      </c>
      <c r="AK15" s="81" t="str">
        <f>IFERROR(IF(OR(AH19="",COUNTIF(AM2:AM15,AH19)),"",AH19),"")</f>
        <v/>
      </c>
      <c r="AL15" s="81" t="str" cm="1">
        <f t="array" ref="AL15">INDEX(AK:AK,SMALL(IF(AK2:AK17&lt;&gt;"",ROW(2:17),17),ROW(AK14)))&amp;""</f>
        <v/>
      </c>
      <c r="AM15" s="77"/>
      <c r="AN15" s="76" t="str">
        <f>IFERROR(VLOOKUP(AM15,AH6:AI21,2,0),"")</f>
        <v/>
      </c>
      <c r="AO15" s="78" t="str">
        <f>IF(AM15=0,"",COUNTIF(AM2:AM15,AM15))</f>
        <v/>
      </c>
      <c r="AP15" s="76"/>
    </row>
    <row r="16" spans="1:44" ht="14.4" customHeight="1">
      <c r="A16" s="169" t="s">
        <v>2949</v>
      </c>
      <c r="B16" s="169"/>
      <c r="C16" s="169">
        <v>32</v>
      </c>
      <c r="D16" s="169">
        <v>34</v>
      </c>
      <c r="E16" s="136" t="s">
        <v>153</v>
      </c>
      <c r="F16" s="79" t="s">
        <v>4764</v>
      </c>
      <c r="G16" s="79" t="str">
        <f>G14</f>
        <v>小型</v>
      </c>
      <c r="H16" s="79" t="s">
        <v>5519</v>
      </c>
      <c r="I16" s="79" t="s">
        <v>4768</v>
      </c>
      <c r="J16" s="80" t="s">
        <v>5511</v>
      </c>
      <c r="K16" s="79"/>
      <c r="L16" s="85" t="s">
        <v>5145</v>
      </c>
      <c r="M16" s="81" t="str">
        <f>""</f>
        <v/>
      </c>
      <c r="N16" s="81" t="str">
        <f>""</f>
        <v/>
      </c>
      <c r="O16" s="81" t="str">
        <f>""</f>
        <v/>
      </c>
      <c r="P16" s="81" t="str">
        <f>""</f>
        <v/>
      </c>
      <c r="Q16" s="81" t="str">
        <f>""</f>
        <v/>
      </c>
      <c r="R16" s="81" t="str">
        <f>""</f>
        <v/>
      </c>
      <c r="S16" s="81" t="str">
        <f>""</f>
        <v/>
      </c>
      <c r="T16" s="81" t="str">
        <f>""</f>
        <v/>
      </c>
      <c r="U16" s="81" t="str">
        <f>""</f>
        <v/>
      </c>
      <c r="V16" s="81" t="str">
        <f>""</f>
        <v/>
      </c>
      <c r="W16" s="81" t="str">
        <f>""</f>
        <v/>
      </c>
      <c r="X16" s="81" t="str">
        <f>""</f>
        <v/>
      </c>
      <c r="Y16" s="81" t="str">
        <f>""</f>
        <v/>
      </c>
      <c r="Z16" s="81" t="str">
        <f>""</f>
        <v/>
      </c>
      <c r="AA16" s="81" t="str">
        <f>""</f>
        <v/>
      </c>
      <c r="AB16" s="82" t="str">
        <f>""</f>
        <v/>
      </c>
      <c r="AD16" s="129" t="str">
        <f t="array" ref="AD16">INDEX(L:L,SMALL(IF(L2:L51&lt;&gt;"",ROW(2:51),52),ROW(L15)))&amp;""</f>
        <v>斑猫人</v>
      </c>
      <c r="AG16" s="134" t="e">
        <f>IF(AG15+1&gt;AJ3,IF(AI4+AJ15&gt;AJ4,"",AI4+AJ15),AG15+1)</f>
        <v>#N/A</v>
      </c>
      <c r="AH16" s="81" t="e">
        <f>INDEX(M54:AW159,AH4,AG16)</f>
        <v>#N/A</v>
      </c>
      <c r="AI16" s="81" t="e">
        <f>INDEX(M54:AW159,AH3,AG16)</f>
        <v>#N/A</v>
      </c>
      <c r="AJ16" s="82" t="e">
        <f>IF(AG15+1&gt;AJ3,AJ15+1,0)</f>
        <v>#N/A</v>
      </c>
      <c r="AK16" s="81" t="str">
        <f>IFERROR(IF(OR(AH20="",COUNTIF(AM2:AM15,AH20)),"",AH20),"")</f>
        <v/>
      </c>
      <c r="AL16" s="81" t="str" cm="1">
        <f t="array" ref="AL16">INDEX(AK:AK,SMALL(IF(AK2:AK17&lt;&gt;"",ROW(2:17),17),ROW(AK15)))&amp;""</f>
        <v/>
      </c>
      <c r="AM16" s="77" t="s">
        <v>4769</v>
      </c>
      <c r="AN16" s="76">
        <f>COUNTIF(AO2:AO15,"&gt;1")</f>
        <v>0</v>
      </c>
      <c r="AO16" s="78" t="s">
        <v>4770</v>
      </c>
      <c r="AP16" s="76"/>
    </row>
    <row r="17" spans="1:42" ht="14.4" customHeight="1" thickBot="1">
      <c r="A17" s="131" t="s">
        <v>151</v>
      </c>
      <c r="B17" s="131">
        <v>3</v>
      </c>
      <c r="C17" s="131">
        <v>1</v>
      </c>
      <c r="D17" s="131">
        <v>3</v>
      </c>
      <c r="E17" s="90" t="s">
        <v>4779</v>
      </c>
      <c r="F17" s="79" t="s">
        <v>4764</v>
      </c>
      <c r="G17" s="79" t="str">
        <f>G14</f>
        <v>小型</v>
      </c>
      <c r="H17" s="79" t="s">
        <v>5519</v>
      </c>
      <c r="I17" s="79" t="s">
        <v>4768</v>
      </c>
      <c r="J17" s="80" t="s">
        <v>5511</v>
      </c>
      <c r="K17" s="79"/>
      <c r="L17" s="85" t="s">
        <v>5146</v>
      </c>
      <c r="M17" s="81" t="str">
        <f>""</f>
        <v/>
      </c>
      <c r="N17" s="81" t="str">
        <f>""</f>
        <v/>
      </c>
      <c r="O17" s="81" t="str">
        <f>""</f>
        <v/>
      </c>
      <c r="P17" s="81" t="str">
        <f>""</f>
        <v/>
      </c>
      <c r="Q17" s="81" t="str">
        <f>""</f>
        <v/>
      </c>
      <c r="R17" s="81" t="str">
        <f>""</f>
        <v/>
      </c>
      <c r="S17" s="81" t="str">
        <f>""</f>
        <v/>
      </c>
      <c r="T17" s="81" t="str">
        <f>""</f>
        <v/>
      </c>
      <c r="U17" s="81" t="str">
        <f>""</f>
        <v/>
      </c>
      <c r="V17" s="81" t="str">
        <f>""</f>
        <v/>
      </c>
      <c r="W17" s="81" t="str">
        <f>""</f>
        <v/>
      </c>
      <c r="X17" s="81" t="str">
        <f>""</f>
        <v/>
      </c>
      <c r="Y17" s="81" t="str">
        <f>""</f>
        <v/>
      </c>
      <c r="Z17" s="81" t="str">
        <f>""</f>
        <v/>
      </c>
      <c r="AA17" s="81" t="str">
        <f>""</f>
        <v/>
      </c>
      <c r="AB17" s="82" t="str">
        <f>""</f>
        <v/>
      </c>
      <c r="AD17" s="129" t="str">
        <f t="array" ref="AD17">INDEX(L:L,SMALL(IF(L2:L51&lt;&gt;"",ROW(2:51),52),ROW(L16)))&amp;""</f>
        <v>梭螺鱼人</v>
      </c>
      <c r="AE17" s="81" t="s">
        <v>4772</v>
      </c>
      <c r="AF17" s="81" t="s">
        <v>4773</v>
      </c>
      <c r="AG17" s="134" t="e">
        <f>IF(AG16+1&gt;AJ3,IF(AI4+AJ16&gt;AJ4,"",AI4+AJ16),AG16+1)</f>
        <v>#N/A</v>
      </c>
      <c r="AH17" s="81" t="e">
        <f>INDEX(M54:AW159,AH4,AG17)</f>
        <v>#N/A</v>
      </c>
      <c r="AI17" s="81" t="e">
        <f>INDEX(M54:AW159,AH3,AG17)</f>
        <v>#N/A</v>
      </c>
      <c r="AJ17" s="82" t="e">
        <f>IF(AG16+1&gt;AJ3,AJ16+1,0)</f>
        <v>#N/A</v>
      </c>
      <c r="AK17" s="94" t="str">
        <f>IFERROR(IF(OR(AH21="",COUNTIF(AM2:AM15,AH21)),"",AH21),"")</f>
        <v/>
      </c>
      <c r="AL17" s="94" t="str" cm="1">
        <f t="array" ref="AL17">INDEX(AK:AK,SMALL(IF(AK2:AK17&lt;&gt;"",ROW(2:17),17),ROW(AK16)))&amp;""</f>
        <v/>
      </c>
      <c r="AM17" s="77" t="s">
        <v>4774</v>
      </c>
      <c r="AN17" s="76">
        <f>COUNTIF(AN18:AN25,"&gt;1")</f>
        <v>0</v>
      </c>
      <c r="AO17" s="78">
        <f>IF(OR(AND(AG2&lt;5,AO21&gt;0),AO19+AO21&gt;2,AO21&gt;1),2,0)</f>
        <v>0</v>
      </c>
      <c r="AP17" s="76"/>
    </row>
    <row r="18" spans="1:42" ht="14.4" customHeight="1" thickBot="1">
      <c r="A18" s="76" t="s">
        <v>152</v>
      </c>
      <c r="B18" s="76"/>
      <c r="C18" s="76">
        <v>4</v>
      </c>
      <c r="D18" s="76">
        <v>4</v>
      </c>
      <c r="E18" s="90" t="s">
        <v>4781</v>
      </c>
      <c r="F18" s="79" t="s">
        <v>4765</v>
      </c>
      <c r="G18" s="79" t="str">
        <f>G14</f>
        <v>小型</v>
      </c>
      <c r="H18" s="79" t="s">
        <v>5519</v>
      </c>
      <c r="I18" s="79" t="s">
        <v>4768</v>
      </c>
      <c r="J18" s="80" t="s">
        <v>5511</v>
      </c>
      <c r="K18" s="79"/>
      <c r="L18" s="85" t="s">
        <v>5147</v>
      </c>
      <c r="M18" s="81" t="str">
        <f>""</f>
        <v/>
      </c>
      <c r="N18" s="81" t="str">
        <f>""</f>
        <v/>
      </c>
      <c r="O18" s="81" t="str">
        <f>""</f>
        <v/>
      </c>
      <c r="P18" s="81" t="str">
        <f>""</f>
        <v/>
      </c>
      <c r="Q18" s="81" t="str">
        <f>""</f>
        <v/>
      </c>
      <c r="R18" s="76" t="str">
        <f>""</f>
        <v/>
      </c>
      <c r="S18" s="76" t="str">
        <f>""</f>
        <v/>
      </c>
      <c r="T18" s="76" t="str">
        <f>""</f>
        <v/>
      </c>
      <c r="U18" s="76" t="str">
        <f>""</f>
        <v/>
      </c>
      <c r="V18" s="76" t="str">
        <f>""</f>
        <v/>
      </c>
      <c r="W18" s="76" t="str">
        <f>""</f>
        <v/>
      </c>
      <c r="X18" s="76" t="str">
        <f>""</f>
        <v/>
      </c>
      <c r="Y18" s="76" t="str">
        <f>""</f>
        <v/>
      </c>
      <c r="Z18" s="76" t="str">
        <f>""</f>
        <v/>
      </c>
      <c r="AA18" s="76" t="str">
        <f>""</f>
        <v/>
      </c>
      <c r="AB18" s="82" t="str">
        <f>""</f>
        <v/>
      </c>
      <c r="AD18" s="129" t="str" cm="1">
        <f t="array" ref="AD18">INDEX(L:L,SMALL(IF(L2:L51&lt;&gt;"",ROW(2:51),52),ROW(L17)))&amp;""</f>
        <v>地精</v>
      </c>
      <c r="AE18" s="94" t="str">
        <f>IF(AG4=0,"",COUNTIF(AE3:AE15,AG4))</f>
        <v/>
      </c>
      <c r="AF18" s="94">
        <f>IF(AND(AG4=0,OR(AG3=L2,AG3=L3,AG3=L4,AG3=L7,AG3=L24,AG3=L35,AG3=L50,AG3=L51)),1,"")</f>
        <v>1</v>
      </c>
      <c r="AG18" s="134" t="e">
        <f>IF(AG17+1&gt;AJ3,IF(AI4+AJ17&gt;AJ4,"",AI4+AJ17),AG17+1)</f>
        <v>#N/A</v>
      </c>
      <c r="AH18" s="81" t="e">
        <f>INDEX(M54:AW159,AH4,AG18)</f>
        <v>#N/A</v>
      </c>
      <c r="AI18" s="81" t="e">
        <f>INDEX(M54:AW159,AH3,AG18)</f>
        <v>#N/A</v>
      </c>
      <c r="AJ18" s="82" t="e">
        <f>IF(AG17+1&gt;AJ3,AJ17+1,0)</f>
        <v>#N/A</v>
      </c>
      <c r="AM18" s="136" t="s">
        <v>4777</v>
      </c>
      <c r="AN18" s="76">
        <f>IF(AG3=L8,COUNTIF(AM2:AM15,"多才多艺")+COUNTIF(AM2:AM15,"木精灵武器训练")+COUNTIF(AM2:AM15,"轻捷步伐")+COUNTIF(AM2:AM15,"野性面具"),0)</f>
        <v>0</v>
      </c>
      <c r="AO18" s="137" t="s">
        <v>4778</v>
      </c>
      <c r="AP18" s="167"/>
    </row>
    <row r="19" spans="1:42" ht="14.4" customHeight="1">
      <c r="A19" s="76" t="s">
        <v>4756</v>
      </c>
      <c r="B19" s="76"/>
      <c r="C19" s="76">
        <v>5</v>
      </c>
      <c r="D19" s="76">
        <v>5</v>
      </c>
      <c r="E19" s="91" t="s">
        <v>4784</v>
      </c>
      <c r="F19" s="79" t="s">
        <v>4764</v>
      </c>
      <c r="G19" s="79" t="str">
        <f>G14</f>
        <v>小型</v>
      </c>
      <c r="H19" s="79" t="s">
        <v>5519</v>
      </c>
      <c r="I19" s="79" t="s">
        <v>4768</v>
      </c>
      <c r="J19" s="80" t="s">
        <v>5511</v>
      </c>
      <c r="K19" s="79"/>
      <c r="L19" s="85" t="s">
        <v>4775</v>
      </c>
      <c r="M19" s="81" t="str">
        <f>""</f>
        <v/>
      </c>
      <c r="N19" s="81" t="str">
        <f>""</f>
        <v/>
      </c>
      <c r="O19" s="81" t="str">
        <f>""</f>
        <v/>
      </c>
      <c r="P19" s="81" t="str">
        <f>""</f>
        <v/>
      </c>
      <c r="Q19" s="81" t="str">
        <f>""</f>
        <v/>
      </c>
      <c r="R19" s="81" t="str">
        <f>""</f>
        <v/>
      </c>
      <c r="S19" s="81" t="str">
        <f>""</f>
        <v/>
      </c>
      <c r="T19" s="81" t="str">
        <f>""</f>
        <v/>
      </c>
      <c r="U19" s="81" t="str">
        <f>""</f>
        <v/>
      </c>
      <c r="V19" s="81" t="str">
        <f>""</f>
        <v/>
      </c>
      <c r="W19" s="81" t="str">
        <f>""</f>
        <v/>
      </c>
      <c r="X19" s="81" t="str">
        <f>""</f>
        <v/>
      </c>
      <c r="Y19" s="81" t="str">
        <f>""</f>
        <v/>
      </c>
      <c r="Z19" s="81" t="str">
        <f>""</f>
        <v/>
      </c>
      <c r="AA19" s="81" t="str">
        <f>""</f>
        <v/>
      </c>
      <c r="AB19" s="82" t="str">
        <f>""</f>
        <v/>
      </c>
      <c r="AD19" s="129" t="str" cm="1">
        <f t="array" ref="AD19">INDEX(L:L,SMALL(IF(L2:L51&lt;&gt;"",ROW(2:51),52),ROW(L18)))&amp;""</f>
        <v>熊地精</v>
      </c>
      <c r="AG19" s="134" t="e">
        <f>IF(AG18+1&gt;AJ3,IF(AI4+AJ18&gt;AJ4,"",AI4+AJ18),AG18+1)</f>
        <v>#N/A</v>
      </c>
      <c r="AH19" s="81" t="e">
        <f>INDEX(M54:AW159,AH4,AG19)</f>
        <v>#N/A</v>
      </c>
      <c r="AI19" s="81" t="e">
        <f>INDEX(M54:AW159,AH3,AG19)</f>
        <v>#N/A</v>
      </c>
      <c r="AJ19" s="82" t="e">
        <f>IF(AG18+1&gt;AJ3,AJ18+1,0)</f>
        <v>#N/A</v>
      </c>
      <c r="AM19" s="136" t="s">
        <v>4780</v>
      </c>
      <c r="AN19" s="76">
        <f>IF(AG3=L8,COUNTIF(AM2:AM15,"多才多艺")+COUNTIF(AM2:AM15,"高等精灵武器训练")+COUNTIF(AM2:AM15,"戏法"),0)</f>
        <v>0</v>
      </c>
      <c r="AO19" s="78">
        <f>IF(AG3=L28,COUNTIF(AM2:AM15,"蝠鲼滑翔")+COUNTIF(AM2:AM15,"灵活攀登")+COUNTIF(AM2:AM15,"水下适应"),0)</f>
        <v>0</v>
      </c>
      <c r="AP19" s="76"/>
    </row>
    <row r="20" spans="1:42" ht="14.4" customHeight="1">
      <c r="A20" s="96" t="s">
        <v>153</v>
      </c>
      <c r="B20" s="96"/>
      <c r="C20" s="96">
        <v>6</v>
      </c>
      <c r="D20" s="96">
        <v>6</v>
      </c>
      <c r="E20" s="77" t="s">
        <v>139</v>
      </c>
      <c r="F20" s="79" t="s">
        <v>4786</v>
      </c>
      <c r="G20" s="79" t="s">
        <v>182</v>
      </c>
      <c r="H20" s="79" t="s">
        <v>5312</v>
      </c>
      <c r="I20" s="79" t="s">
        <v>4758</v>
      </c>
      <c r="J20" s="80" t="s">
        <v>5511</v>
      </c>
      <c r="K20" s="79"/>
      <c r="L20" s="85" t="s">
        <v>4776</v>
      </c>
      <c r="M20" s="81" t="str">
        <f>""</f>
        <v/>
      </c>
      <c r="N20" s="81" t="str">
        <f>""</f>
        <v/>
      </c>
      <c r="O20" s="81" t="str">
        <f>""</f>
        <v/>
      </c>
      <c r="P20" s="81" t="str">
        <f>""</f>
        <v/>
      </c>
      <c r="Q20" s="81" t="str">
        <f>""</f>
        <v/>
      </c>
      <c r="R20" s="81" t="str">
        <f>""</f>
        <v/>
      </c>
      <c r="S20" s="81" t="str">
        <f>""</f>
        <v/>
      </c>
      <c r="T20" s="81" t="str">
        <f>""</f>
        <v/>
      </c>
      <c r="U20" s="81" t="str">
        <f>""</f>
        <v/>
      </c>
      <c r="V20" s="81" t="str">
        <f>""</f>
        <v/>
      </c>
      <c r="W20" s="81" t="str">
        <f>""</f>
        <v/>
      </c>
      <c r="X20" s="81" t="str">
        <f>""</f>
        <v/>
      </c>
      <c r="Y20" s="81" t="str">
        <f>""</f>
        <v/>
      </c>
      <c r="Z20" s="81" t="str">
        <f>""</f>
        <v/>
      </c>
      <c r="AA20" s="81" t="str">
        <f>""</f>
        <v/>
      </c>
      <c r="AB20" s="82" t="str">
        <f>""</f>
        <v/>
      </c>
      <c r="AD20" s="129" t="str" cm="1">
        <f t="array" ref="AD20">INDEX(L:L,SMALL(IF(L2:L51&lt;&gt;"",ROW(2:51),52),ROW(L19)))&amp;""</f>
        <v>大地精</v>
      </c>
      <c r="AG20" s="134" t="e">
        <f>IF(AG19+1&gt;AJ3,IF(AI4+AJ19&gt;AJ4,"",AI4+AJ19),AG19+1)</f>
        <v>#N/A</v>
      </c>
      <c r="AH20" s="81" t="e">
        <f>INDEX(M54:AW159,AH4,AG20)</f>
        <v>#N/A</v>
      </c>
      <c r="AI20" s="81" t="e">
        <f>INDEX(M54:AW159,AH3,AG20)</f>
        <v>#N/A</v>
      </c>
      <c r="AJ20" s="82" t="e">
        <f>IF(AG19+1&gt;AJ3,AJ19+1,0)</f>
        <v>#N/A</v>
      </c>
      <c r="AM20" s="136" t="s">
        <v>4782</v>
      </c>
      <c r="AN20" s="76">
        <f>IF(AG3=L8,COUNTIF(AM2:AM15,"多才多艺")+COUNTIF(AM2:AM15,"卓尔魔法"),0)</f>
        <v>0</v>
      </c>
      <c r="AO20" s="78" t="s">
        <v>4783</v>
      </c>
      <c r="AP20" s="76"/>
    </row>
    <row r="21" spans="1:42" ht="14.4" customHeight="1" thickBot="1">
      <c r="A21" s="128" t="s">
        <v>4779</v>
      </c>
      <c r="B21" s="128"/>
      <c r="C21" s="128">
        <v>7</v>
      </c>
      <c r="D21" s="128">
        <v>9</v>
      </c>
      <c r="E21" s="77" t="s">
        <v>140</v>
      </c>
      <c r="F21" s="79" t="s">
        <v>4789</v>
      </c>
      <c r="G21" s="79" t="str">
        <f>G20</f>
        <v>中型</v>
      </c>
      <c r="H21" s="79" t="s">
        <v>5311</v>
      </c>
      <c r="I21" s="79" t="s">
        <v>4758</v>
      </c>
      <c r="J21" s="80" t="s">
        <v>5511</v>
      </c>
      <c r="K21" s="79"/>
      <c r="L21" s="85" t="s">
        <v>5148</v>
      </c>
      <c r="M21" s="81" t="str">
        <f>""</f>
        <v/>
      </c>
      <c r="N21" s="81" t="str">
        <f>""</f>
        <v/>
      </c>
      <c r="O21" s="81" t="str">
        <f>""</f>
        <v/>
      </c>
      <c r="P21" s="81" t="str">
        <f>""</f>
        <v/>
      </c>
      <c r="Q21" s="81" t="str">
        <f>""</f>
        <v/>
      </c>
      <c r="R21" s="81" t="str">
        <f>""</f>
        <v/>
      </c>
      <c r="S21" s="81" t="str">
        <f>""</f>
        <v/>
      </c>
      <c r="T21" s="81" t="str">
        <f>""</f>
        <v/>
      </c>
      <c r="U21" s="81" t="str">
        <f>""</f>
        <v/>
      </c>
      <c r="V21" s="81" t="str">
        <f>""</f>
        <v/>
      </c>
      <c r="W21" s="81" t="str">
        <f>""</f>
        <v/>
      </c>
      <c r="X21" s="81" t="str">
        <f>""</f>
        <v/>
      </c>
      <c r="Y21" s="81" t="str">
        <f>""</f>
        <v/>
      </c>
      <c r="Z21" s="81" t="str">
        <f>""</f>
        <v/>
      </c>
      <c r="AA21" s="81" t="str">
        <f>""</f>
        <v/>
      </c>
      <c r="AB21" s="82" t="str">
        <f>""</f>
        <v/>
      </c>
      <c r="AD21" s="129" t="str" cm="1">
        <f t="array" ref="AD21">INDEX(L:L,SMALL(IF(L2:L51&lt;&gt;"",ROW(2:51),52),ROW(L20)))&amp;""</f>
        <v>狗头人</v>
      </c>
      <c r="AG21" s="138" t="e">
        <f>IF(AG20+1&gt;AJ3,IF(AI4+AJ20&gt;AJ4,"",AI4+AJ20),AG20+1)</f>
        <v>#N/A</v>
      </c>
      <c r="AH21" s="94" t="e">
        <f>INDEX(M54:AW159,AH4,AG21)</f>
        <v>#N/A</v>
      </c>
      <c r="AI21" s="94" t="e">
        <f>INDEX(M54:AW159,AH3,AG21)</f>
        <v>#N/A</v>
      </c>
      <c r="AJ21" s="139" t="e">
        <f>IF(AG20+1&gt;AJ3,AJ20+1,0)</f>
        <v>#N/A</v>
      </c>
      <c r="AM21" s="136" t="s">
        <v>4785</v>
      </c>
      <c r="AN21" s="76">
        <f>IF(AG3=L8,COUNTIF(AM2:AM15,"多才多艺")+COUNTIF(AM2:AM15,"敏锐感官")+COUNTIF(AM2:AM15,"游泳速度"),0)</f>
        <v>0</v>
      </c>
      <c r="AO21" s="78">
        <f>IF(AG3=L28,COUNTIF(AM2:AM15,"斗殴附件")+COUNTIF(AM2:AM15,"甲壳")+COUNTIF(AM2:AM15,"酸液喷吐"),0)</f>
        <v>0</v>
      </c>
      <c r="AP21" s="76"/>
    </row>
    <row r="22" spans="1:42" ht="14.4" customHeight="1">
      <c r="A22" s="128" t="s">
        <v>4781</v>
      </c>
      <c r="B22" s="128"/>
      <c r="C22" s="128">
        <v>10</v>
      </c>
      <c r="D22" s="128">
        <v>12</v>
      </c>
      <c r="E22" s="90" t="s">
        <v>4791</v>
      </c>
      <c r="F22" s="79" t="s">
        <v>4792</v>
      </c>
      <c r="G22" s="79" t="str">
        <f>G20</f>
        <v>中型</v>
      </c>
      <c r="H22" s="79" t="s">
        <v>5311</v>
      </c>
      <c r="I22" s="79" t="s">
        <v>5261</v>
      </c>
      <c r="J22" s="80" t="s">
        <v>5511</v>
      </c>
      <c r="K22" s="79"/>
      <c r="L22" s="85" t="s">
        <v>5149</v>
      </c>
      <c r="M22" s="81" t="str">
        <f>""</f>
        <v/>
      </c>
      <c r="N22" s="81" t="str">
        <f>""</f>
        <v/>
      </c>
      <c r="O22" s="81" t="str">
        <f>""</f>
        <v/>
      </c>
      <c r="P22" s="81" t="str">
        <f>""</f>
        <v/>
      </c>
      <c r="Q22" s="81" t="str">
        <f>""</f>
        <v/>
      </c>
      <c r="R22" s="81" t="str">
        <f>""</f>
        <v/>
      </c>
      <c r="S22" s="81" t="str">
        <f>""</f>
        <v/>
      </c>
      <c r="T22" s="81" t="str">
        <f>""</f>
        <v/>
      </c>
      <c r="U22" s="81" t="str">
        <f>""</f>
        <v/>
      </c>
      <c r="V22" s="81" t="str">
        <f>""</f>
        <v/>
      </c>
      <c r="W22" s="81" t="str">
        <f>""</f>
        <v/>
      </c>
      <c r="X22" s="81" t="str">
        <f>""</f>
        <v/>
      </c>
      <c r="Y22" s="81" t="str">
        <f>""</f>
        <v/>
      </c>
      <c r="Z22" s="81" t="str">
        <f>""</f>
        <v/>
      </c>
      <c r="AA22" s="81" t="str">
        <f>""</f>
        <v/>
      </c>
      <c r="AB22" s="82" t="str">
        <f>""</f>
        <v/>
      </c>
      <c r="AD22" s="129" t="str">
        <f t="array" ref="AD22">INDEX(L:L,SMALL(IF(L2:L51&lt;&gt;"",ROW(2:51),52),ROW(L21)))&amp;""</f>
        <v>兽人</v>
      </c>
      <c r="AM22" s="136" t="s">
        <v>188</v>
      </c>
      <c r="AN22" s="76">
        <f>IF(AG3=L10,COUNTIF(AM2:AM15,"地狱遗赠")+COUNTIF(AM2:AM15,"魔鬼之舌")+COUNTIF(AM2:AM15,"地狱之火")+COUNTIF(AM2:AM15,"飞翼"),0)</f>
        <v>0</v>
      </c>
      <c r="AO22" s="78"/>
      <c r="AP22" s="76"/>
    </row>
    <row r="23" spans="1:42" ht="14.4" customHeight="1">
      <c r="A23" s="132" t="s">
        <v>4784</v>
      </c>
      <c r="B23" s="132"/>
      <c r="C23" s="132">
        <v>13</v>
      </c>
      <c r="D23" s="132">
        <v>14</v>
      </c>
      <c r="E23" s="90" t="s">
        <v>4794</v>
      </c>
      <c r="F23" s="79" t="s">
        <v>4795</v>
      </c>
      <c r="G23" s="79" t="str">
        <f>G20</f>
        <v>中型</v>
      </c>
      <c r="H23" s="79" t="s">
        <v>5311</v>
      </c>
      <c r="I23" s="79" t="s">
        <v>4758</v>
      </c>
      <c r="J23" s="80" t="s">
        <v>5511</v>
      </c>
      <c r="K23" s="79"/>
      <c r="L23" s="85" t="s">
        <v>5150</v>
      </c>
      <c r="M23" s="81" t="str">
        <f>""</f>
        <v/>
      </c>
      <c r="N23" s="81" t="str">
        <f>""</f>
        <v/>
      </c>
      <c r="O23" s="81" t="str">
        <f>""</f>
        <v/>
      </c>
      <c r="P23" s="81" t="str">
        <f>""</f>
        <v/>
      </c>
      <c r="Q23" s="81" t="str">
        <f>""</f>
        <v/>
      </c>
      <c r="R23" s="81" t="str">
        <f>""</f>
        <v/>
      </c>
      <c r="S23" s="81" t="str">
        <f>""</f>
        <v/>
      </c>
      <c r="T23" s="81" t="str">
        <f>""</f>
        <v/>
      </c>
      <c r="U23" s="81" t="str">
        <f>""</f>
        <v/>
      </c>
      <c r="V23" s="81" t="str">
        <f>""</f>
        <v/>
      </c>
      <c r="W23" s="81" t="str">
        <f>""</f>
        <v/>
      </c>
      <c r="X23" s="81" t="str">
        <f>""</f>
        <v/>
      </c>
      <c r="Y23" s="81" t="str">
        <f>""</f>
        <v/>
      </c>
      <c r="Z23" s="81" t="str">
        <f>""</f>
        <v/>
      </c>
      <c r="AA23" s="81" t="str">
        <f>""</f>
        <v/>
      </c>
      <c r="AB23" s="82" t="str">
        <f>""</f>
        <v/>
      </c>
      <c r="AD23" s="129" t="str">
        <f t="array" ref="AD23">INDEX(L:L,SMALL(IF(L2:L51&lt;&gt;"",ROW(2:51),52),ROW(L22)))&amp;""</f>
        <v>原体蛇人</v>
      </c>
      <c r="AM23" s="140" t="s">
        <v>4790</v>
      </c>
      <c r="AN23" s="81">
        <f>IF(AG3=L11,COUNTIF(AM2:AM15,"死灵环绕")+COUNTIF(AM2:AM15,"光辉焚化")+COUNTIF(AM2:AM15,"光辉灵魂"),0)</f>
        <v>0</v>
      </c>
      <c r="AO23" s="82"/>
    </row>
    <row r="24" spans="1:42" ht="14.4" customHeight="1">
      <c r="A24" s="131" t="s">
        <v>139</v>
      </c>
      <c r="B24" s="131">
        <v>4</v>
      </c>
      <c r="C24" s="131">
        <v>1</v>
      </c>
      <c r="D24" s="131">
        <v>0</v>
      </c>
      <c r="E24" s="90" t="s">
        <v>4797</v>
      </c>
      <c r="F24" s="79" t="s">
        <v>4798</v>
      </c>
      <c r="G24" s="79" t="str">
        <f>G20</f>
        <v>中型</v>
      </c>
      <c r="H24" s="79" t="s">
        <v>5311</v>
      </c>
      <c r="I24" s="79" t="s">
        <v>4758</v>
      </c>
      <c r="J24" s="80" t="s">
        <v>5511</v>
      </c>
      <c r="K24" s="79"/>
      <c r="L24" s="86" t="s">
        <v>5151</v>
      </c>
      <c r="M24" s="127" t="s">
        <v>4787</v>
      </c>
      <c r="N24" s="127" t="s">
        <v>4788</v>
      </c>
      <c r="O24" s="81" t="str">
        <f>""</f>
        <v/>
      </c>
      <c r="P24" s="81" t="str">
        <f>""</f>
        <v/>
      </c>
      <c r="Q24" s="81" t="str">
        <f>""</f>
        <v/>
      </c>
      <c r="R24" s="81" t="str">
        <f>""</f>
        <v/>
      </c>
      <c r="S24" s="81" t="str">
        <f>""</f>
        <v/>
      </c>
      <c r="T24" s="81" t="str">
        <f>""</f>
        <v/>
      </c>
      <c r="U24" s="81" t="str">
        <f>""</f>
        <v/>
      </c>
      <c r="V24" s="81" t="str">
        <f>""</f>
        <v/>
      </c>
      <c r="W24" s="81" t="str">
        <f>""</f>
        <v/>
      </c>
      <c r="X24" s="81" t="str">
        <f>""</f>
        <v/>
      </c>
      <c r="Y24" s="81" t="str">
        <f>""</f>
        <v/>
      </c>
      <c r="Z24" s="81" t="str">
        <f>""</f>
        <v/>
      </c>
      <c r="AA24" s="81" t="str">
        <f>""</f>
        <v/>
      </c>
      <c r="AB24" s="82" t="str">
        <f>""</f>
        <v/>
      </c>
      <c r="AD24" s="129" t="str">
        <f t="array" ref="AD24">INDEX(L:L,SMALL(IF(L2:L51&lt;&gt;"",ROW(2:51),52),ROW(L23)))&amp;""</f>
        <v>吉斯人</v>
      </c>
      <c r="AM24" s="134" t="s">
        <v>4793</v>
      </c>
      <c r="AN24" s="81">
        <f>IF(AG3=L21,COUNTIF(AM2:AM15,"狡猾")+COUNTIF(AM2:AM15,"反抗")+COUNTIF(AM2:AM15,"龙族术法"),0)</f>
        <v>0</v>
      </c>
      <c r="AO24" s="82"/>
    </row>
    <row r="25" spans="1:42" ht="14.4" customHeight="1" thickBot="1">
      <c r="A25" s="76" t="s">
        <v>140</v>
      </c>
      <c r="B25" s="76"/>
      <c r="C25" s="76">
        <v>1</v>
      </c>
      <c r="D25" s="76">
        <v>2</v>
      </c>
      <c r="E25" s="90" t="s">
        <v>4799</v>
      </c>
      <c r="F25" s="79" t="s">
        <v>4800</v>
      </c>
      <c r="G25" s="79" t="str">
        <f>G20</f>
        <v>中型</v>
      </c>
      <c r="H25" s="79" t="s">
        <v>5311</v>
      </c>
      <c r="I25" s="79" t="s">
        <v>5260</v>
      </c>
      <c r="J25" s="80" t="s">
        <v>5511</v>
      </c>
      <c r="K25" s="79"/>
      <c r="L25" s="87" t="s">
        <v>5152</v>
      </c>
      <c r="M25" s="81" t="str">
        <f>""</f>
        <v/>
      </c>
      <c r="N25" s="81" t="str">
        <f>""</f>
        <v/>
      </c>
      <c r="O25" s="81" t="str">
        <f>""</f>
        <v/>
      </c>
      <c r="P25" s="81" t="str">
        <f>""</f>
        <v/>
      </c>
      <c r="Q25" s="81" t="str">
        <f>""</f>
        <v/>
      </c>
      <c r="R25" s="81" t="str">
        <f>""</f>
        <v/>
      </c>
      <c r="S25" s="81" t="str">
        <f>""</f>
        <v/>
      </c>
      <c r="T25" s="81" t="str">
        <f>""</f>
        <v/>
      </c>
      <c r="U25" s="81" t="str">
        <f>""</f>
        <v/>
      </c>
      <c r="V25" s="81" t="str">
        <f>""</f>
        <v/>
      </c>
      <c r="W25" s="81" t="str">
        <f>""</f>
        <v/>
      </c>
      <c r="X25" s="81" t="str">
        <f>""</f>
        <v/>
      </c>
      <c r="Y25" s="81" t="str">
        <f>""</f>
        <v/>
      </c>
      <c r="Z25" s="81" t="str">
        <f>""</f>
        <v/>
      </c>
      <c r="AA25" s="81" t="str">
        <f>""</f>
        <v/>
      </c>
      <c r="AB25" s="82" t="str">
        <f>""</f>
        <v/>
      </c>
      <c r="AD25" s="129" t="str">
        <f t="array" ref="AD25">INDEX(L:L,SMALL(IF(L2:L51&lt;&gt;"",ROW(2:51),52),ROW(L24)))&amp;""</f>
        <v>人马</v>
      </c>
      <c r="AM25" s="138" t="s">
        <v>4796</v>
      </c>
      <c r="AN25" s="94">
        <f>IF(AG3=L32,COUNTIF(AM2:AM15,"兽皮")+COUNTIF(AM2:AM15,"长牙")+COUNTIF(AM2:AM15,"迅捷")+COUNTIF(AM2:AM15,"猎食"),0)</f>
        <v>0</v>
      </c>
      <c r="AO25" s="139"/>
    </row>
    <row r="26" spans="1:42" ht="14.4" customHeight="1">
      <c r="A26" s="128" t="s">
        <v>4791</v>
      </c>
      <c r="B26" s="128"/>
      <c r="C26" s="128">
        <f>IF(AG3=L9,5,3)</f>
        <v>3</v>
      </c>
      <c r="D26" s="128">
        <f>IF(AG3=L9,8,6)</f>
        <v>6</v>
      </c>
      <c r="E26" s="90" t="s">
        <v>4801</v>
      </c>
      <c r="F26" s="79" t="s">
        <v>4752</v>
      </c>
      <c r="G26" s="79" t="str">
        <f>G20</f>
        <v>中型</v>
      </c>
      <c r="H26" s="79" t="s">
        <v>5311</v>
      </c>
      <c r="I26" s="79" t="s">
        <v>4758</v>
      </c>
      <c r="J26" s="80" t="s">
        <v>5511</v>
      </c>
      <c r="K26" s="79"/>
      <c r="L26" s="87" t="s">
        <v>5153</v>
      </c>
      <c r="M26" s="81" t="str">
        <f>""</f>
        <v/>
      </c>
      <c r="N26" s="81" t="str">
        <f>""</f>
        <v/>
      </c>
      <c r="O26" s="81" t="str">
        <f>""</f>
        <v/>
      </c>
      <c r="P26" s="81" t="str">
        <f>""</f>
        <v/>
      </c>
      <c r="Q26" s="81" t="str">
        <f>""</f>
        <v/>
      </c>
      <c r="R26" s="81" t="str">
        <f>""</f>
        <v/>
      </c>
      <c r="S26" s="81" t="str">
        <f>""</f>
        <v/>
      </c>
      <c r="T26" s="81" t="str">
        <f>""</f>
        <v/>
      </c>
      <c r="U26" s="81" t="str">
        <f>""</f>
        <v/>
      </c>
      <c r="V26" s="81" t="str">
        <f>""</f>
        <v/>
      </c>
      <c r="W26" s="81" t="str">
        <f>""</f>
        <v/>
      </c>
      <c r="X26" s="81" t="str">
        <f>""</f>
        <v/>
      </c>
      <c r="Y26" s="81" t="str">
        <f>""</f>
        <v/>
      </c>
      <c r="Z26" s="81" t="str">
        <f>""</f>
        <v/>
      </c>
      <c r="AA26" s="81" t="str">
        <f>""</f>
        <v/>
      </c>
      <c r="AB26" s="82" t="str">
        <f>""</f>
        <v/>
      </c>
      <c r="AD26" s="129" t="str">
        <f t="array" ref="AD26">INDEX(L:L,SMALL(IF(L2:L51&lt;&gt;"",ROW(2:51),52),ROW(L25)))&amp;""</f>
        <v>牛头人</v>
      </c>
    </row>
    <row r="27" spans="1:42" ht="14.4" customHeight="1">
      <c r="A27" s="128" t="s">
        <v>4794</v>
      </c>
      <c r="B27" s="128"/>
      <c r="C27" s="128">
        <v>7</v>
      </c>
      <c r="D27" s="128">
        <v>11</v>
      </c>
      <c r="E27" s="77" t="s">
        <v>163</v>
      </c>
      <c r="F27" s="79" t="s">
        <v>4802</v>
      </c>
      <c r="G27" s="79" t="s">
        <v>182</v>
      </c>
      <c r="H27" s="79" t="s">
        <v>5312</v>
      </c>
      <c r="I27" s="79" t="s">
        <v>4803</v>
      </c>
      <c r="J27" s="80" t="s">
        <v>5511</v>
      </c>
      <c r="K27" s="79"/>
      <c r="L27" s="87" t="s">
        <v>5154</v>
      </c>
      <c r="M27" s="81" t="str">
        <f>""</f>
        <v/>
      </c>
      <c r="N27" s="81" t="str">
        <f>""</f>
        <v/>
      </c>
      <c r="O27" s="81" t="str">
        <f>""</f>
        <v/>
      </c>
      <c r="P27" s="81" t="str">
        <f>""</f>
        <v/>
      </c>
      <c r="Q27" s="81" t="str">
        <f>""</f>
        <v/>
      </c>
      <c r="R27" s="81" t="str">
        <f>""</f>
        <v/>
      </c>
      <c r="S27" s="81" t="str">
        <f>""</f>
        <v/>
      </c>
      <c r="T27" s="81" t="str">
        <f>""</f>
        <v/>
      </c>
      <c r="U27" s="81" t="str">
        <f>""</f>
        <v/>
      </c>
      <c r="V27" s="81" t="str">
        <f>""</f>
        <v/>
      </c>
      <c r="W27" s="81" t="str">
        <f>""</f>
        <v/>
      </c>
      <c r="X27" s="81" t="str">
        <f>""</f>
        <v/>
      </c>
      <c r="Y27" s="81" t="str">
        <f>""</f>
        <v/>
      </c>
      <c r="Z27" s="81" t="str">
        <f>""</f>
        <v/>
      </c>
      <c r="AA27" s="81" t="str">
        <f>""</f>
        <v/>
      </c>
      <c r="AB27" s="82" t="str">
        <f>""</f>
        <v/>
      </c>
      <c r="AD27" s="129" t="str">
        <f t="array" ref="AD27">INDEX(L:L,SMALL(IF(L2:L51&lt;&gt;"",ROW(2:51),52),ROW(L26)))&amp;""</f>
        <v>象族</v>
      </c>
    </row>
    <row r="28" spans="1:42" ht="14.4" customHeight="1">
      <c r="A28" s="128" t="s">
        <v>4797</v>
      </c>
      <c r="B28" s="128"/>
      <c r="C28" s="128">
        <v>12</v>
      </c>
      <c r="D28" s="128">
        <v>15</v>
      </c>
      <c r="E28" s="91" t="s">
        <v>4808</v>
      </c>
      <c r="F28" s="79" t="s">
        <v>4809</v>
      </c>
      <c r="G28" s="79" t="str">
        <f>G27</f>
        <v>中型</v>
      </c>
      <c r="H28" s="79" t="s">
        <v>5311</v>
      </c>
      <c r="I28" s="79" t="s">
        <v>4803</v>
      </c>
      <c r="J28" s="80" t="s">
        <v>5511</v>
      </c>
      <c r="K28" s="79"/>
      <c r="L28" s="87" t="s">
        <v>5155</v>
      </c>
      <c r="M28" s="81" t="str">
        <f>""</f>
        <v/>
      </c>
      <c r="N28" s="81" t="str">
        <f>""</f>
        <v/>
      </c>
      <c r="O28" s="81" t="str">
        <f>""</f>
        <v/>
      </c>
      <c r="P28" s="81" t="str">
        <f>""</f>
        <v/>
      </c>
      <c r="Q28" s="81" t="str">
        <f>""</f>
        <v/>
      </c>
      <c r="R28" s="81" t="str">
        <f>""</f>
        <v/>
      </c>
      <c r="S28" s="81" t="str">
        <f>""</f>
        <v/>
      </c>
      <c r="T28" s="81" t="str">
        <f>""</f>
        <v/>
      </c>
      <c r="U28" s="81" t="str">
        <f>""</f>
        <v/>
      </c>
      <c r="V28" s="81" t="str">
        <f>""</f>
        <v/>
      </c>
      <c r="W28" s="81" t="str">
        <f>""</f>
        <v/>
      </c>
      <c r="X28" s="81" t="str">
        <f>""</f>
        <v/>
      </c>
      <c r="Y28" s="81" t="str">
        <f>""</f>
        <v/>
      </c>
      <c r="Z28" s="81" t="str">
        <f>""</f>
        <v/>
      </c>
      <c r="AA28" s="81" t="str">
        <f>""</f>
        <v/>
      </c>
      <c r="AB28" s="82" t="str">
        <f>""</f>
        <v/>
      </c>
      <c r="AD28" s="129" t="str" cm="1">
        <f t="array" ref="AD28">INDEX(L:L,SMALL(IF(L2:L51&lt;&gt;"",ROW(2:51),52),ROW(L27)))&amp;""</f>
        <v>析米克混生体</v>
      </c>
    </row>
    <row r="29" spans="1:42" ht="14.4" customHeight="1">
      <c r="A29" s="128" t="s">
        <v>4799</v>
      </c>
      <c r="B29" s="128"/>
      <c r="C29" s="128">
        <v>16</v>
      </c>
      <c r="D29" s="128">
        <v>19</v>
      </c>
      <c r="E29" s="91" t="s">
        <v>4810</v>
      </c>
      <c r="F29" s="79" t="s">
        <v>4811</v>
      </c>
      <c r="G29" s="79" t="str">
        <f>G27</f>
        <v>中型</v>
      </c>
      <c r="H29" s="79" t="s">
        <v>5311</v>
      </c>
      <c r="I29" s="79" t="s">
        <v>4803</v>
      </c>
      <c r="J29" s="80" t="s">
        <v>5511</v>
      </c>
      <c r="K29" s="79"/>
      <c r="L29" s="87" t="s">
        <v>5156</v>
      </c>
      <c r="M29" s="81" t="str">
        <f>""</f>
        <v/>
      </c>
      <c r="N29" s="81" t="str">
        <f>""</f>
        <v/>
      </c>
      <c r="O29" s="81" t="str">
        <f>""</f>
        <v/>
      </c>
      <c r="P29" s="81" t="str">
        <f>""</f>
        <v/>
      </c>
      <c r="Q29" s="81" t="str">
        <f>""</f>
        <v/>
      </c>
      <c r="R29" s="81" t="str">
        <f>""</f>
        <v/>
      </c>
      <c r="S29" s="81" t="str">
        <f>""</f>
        <v/>
      </c>
      <c r="T29" s="81" t="str">
        <f>""</f>
        <v/>
      </c>
      <c r="U29" s="81" t="str">
        <f>""</f>
        <v/>
      </c>
      <c r="V29" s="81" t="str">
        <f>""</f>
        <v/>
      </c>
      <c r="W29" s="81" t="str">
        <f>""</f>
        <v/>
      </c>
      <c r="X29" s="81" t="str">
        <f>""</f>
        <v/>
      </c>
      <c r="Y29" s="81" t="str">
        <f>""</f>
        <v/>
      </c>
      <c r="Z29" s="81" t="str">
        <f>""</f>
        <v/>
      </c>
      <c r="AA29" s="81" t="str">
        <f>""</f>
        <v/>
      </c>
      <c r="AB29" s="82" t="str">
        <f>""</f>
        <v/>
      </c>
      <c r="AD29" s="129" t="str">
        <f t="array" ref="AD29">INDEX(L:L,SMALL(IF(L2:L51&lt;&gt;"",ROW(2:51),52),ROW(L28)))&amp;""</f>
        <v>维多肯</v>
      </c>
    </row>
    <row r="30" spans="1:42" ht="14.4" customHeight="1">
      <c r="A30" s="128" t="s">
        <v>4801</v>
      </c>
      <c r="B30" s="128"/>
      <c r="C30" s="128">
        <v>20</v>
      </c>
      <c r="D30" s="128">
        <v>23</v>
      </c>
      <c r="E30" s="141" t="s">
        <v>4812</v>
      </c>
      <c r="F30" s="79" t="s">
        <v>4757</v>
      </c>
      <c r="G30" s="79" t="str">
        <f>G27</f>
        <v>中型</v>
      </c>
      <c r="H30" s="79" t="s">
        <v>5311</v>
      </c>
      <c r="I30" s="79" t="s">
        <v>4758</v>
      </c>
      <c r="J30" s="80" t="s">
        <v>5511</v>
      </c>
      <c r="K30" s="79"/>
      <c r="L30" s="90" t="s">
        <v>5157</v>
      </c>
      <c r="M30" s="81" t="str">
        <f>""</f>
        <v/>
      </c>
      <c r="N30" s="81" t="str">
        <f>""</f>
        <v/>
      </c>
      <c r="O30" s="81" t="str">
        <f>""</f>
        <v/>
      </c>
      <c r="P30" s="81" t="str">
        <f>""</f>
        <v/>
      </c>
      <c r="Q30" s="81" t="str">
        <f>""</f>
        <v/>
      </c>
      <c r="R30" s="81" t="str">
        <f>""</f>
        <v/>
      </c>
      <c r="S30" s="81" t="str">
        <f>""</f>
        <v/>
      </c>
      <c r="T30" s="81" t="str">
        <f>""</f>
        <v/>
      </c>
      <c r="U30" s="81" t="str">
        <f>""</f>
        <v/>
      </c>
      <c r="V30" s="81" t="str">
        <f>""</f>
        <v/>
      </c>
      <c r="W30" s="81" t="str">
        <f>""</f>
        <v/>
      </c>
      <c r="X30" s="81" t="str">
        <f>""</f>
        <v/>
      </c>
      <c r="Y30" s="81" t="str">
        <f>""</f>
        <v/>
      </c>
      <c r="Z30" s="81" t="str">
        <f>""</f>
        <v/>
      </c>
      <c r="AA30" s="81" t="str">
        <f>""</f>
        <v/>
      </c>
      <c r="AB30" s="82" t="str">
        <f>""</f>
        <v/>
      </c>
      <c r="AD30" s="129" t="str">
        <f t="array" ref="AD30">INDEX(L:L,SMALL(IF(L2:L51&lt;&gt;"",ROW(2:51),52),ROW(L29)))&amp;""</f>
        <v>幻身灵</v>
      </c>
    </row>
    <row r="31" spans="1:42" ht="14.4" customHeight="1">
      <c r="A31" s="131" t="s">
        <v>163</v>
      </c>
      <c r="B31" s="131">
        <v>5</v>
      </c>
      <c r="C31" s="131">
        <v>1</v>
      </c>
      <c r="D31" s="131">
        <f>IF(COUNTIF(O6:Q6,AG4),1,IF(COUNTIF(M6:N6,AG4),2,3))</f>
        <v>3</v>
      </c>
      <c r="E31" s="141" t="s">
        <v>4813</v>
      </c>
      <c r="F31" s="79" t="str">
        <f>F30</f>
        <v>自选两项属性分别+2/+1或自选三项属性+1</v>
      </c>
      <c r="G31" s="79" t="str">
        <f>G27</f>
        <v>中型</v>
      </c>
      <c r="H31" s="79" t="s">
        <v>5311</v>
      </c>
      <c r="I31" s="79" t="s">
        <v>4758</v>
      </c>
      <c r="J31" s="80" t="s">
        <v>5511</v>
      </c>
      <c r="K31" s="79"/>
      <c r="L31" s="90" t="s">
        <v>5158</v>
      </c>
      <c r="M31" s="81" t="str">
        <f>""</f>
        <v/>
      </c>
      <c r="N31" s="81" t="str">
        <f>""</f>
        <v/>
      </c>
      <c r="O31" s="81" t="str">
        <f>""</f>
        <v/>
      </c>
      <c r="P31" s="81" t="str">
        <f>""</f>
        <v/>
      </c>
      <c r="Q31" s="81" t="str">
        <f>""</f>
        <v/>
      </c>
      <c r="R31" s="81" t="str">
        <f>""</f>
        <v/>
      </c>
      <c r="S31" s="81" t="str">
        <f>""</f>
        <v/>
      </c>
      <c r="T31" s="81" t="str">
        <f>""</f>
        <v/>
      </c>
      <c r="U31" s="81" t="str">
        <f>""</f>
        <v/>
      </c>
      <c r="V31" s="81" t="str">
        <f>""</f>
        <v/>
      </c>
      <c r="W31" s="81" t="str">
        <f>""</f>
        <v/>
      </c>
      <c r="X31" s="81" t="str">
        <f>""</f>
        <v/>
      </c>
      <c r="Y31" s="81" t="str">
        <f>""</f>
        <v/>
      </c>
      <c r="Z31" s="81" t="str">
        <f>""</f>
        <v/>
      </c>
      <c r="AA31" s="81" t="str">
        <f>""</f>
        <v/>
      </c>
      <c r="AB31" s="82" t="str">
        <f>""</f>
        <v/>
      </c>
      <c r="AD31" s="129" t="str">
        <f t="array" ref="AD31">INDEX(L:L,SMALL(IF(L2:L51&lt;&gt;"",ROW(2:51),52),ROW(L30)))&amp;""</f>
        <v>离梦人</v>
      </c>
    </row>
    <row r="32" spans="1:42" ht="14.4" customHeight="1">
      <c r="A32" s="132" t="s">
        <v>4808</v>
      </c>
      <c r="B32" s="132"/>
      <c r="C32" s="132">
        <v>4</v>
      </c>
      <c r="D32" s="132">
        <v>5</v>
      </c>
      <c r="E32" s="141" t="s">
        <v>4814</v>
      </c>
      <c r="F32" s="79" t="str">
        <f>F30</f>
        <v>自选两项属性分别+2/+1或自选三项属性+1</v>
      </c>
      <c r="G32" s="79" t="str">
        <f>G27</f>
        <v>中型</v>
      </c>
      <c r="H32" s="79" t="s">
        <v>5311</v>
      </c>
      <c r="I32" s="79" t="s">
        <v>4758</v>
      </c>
      <c r="J32" s="80" t="s">
        <v>5511</v>
      </c>
      <c r="K32" s="79"/>
      <c r="L32" s="90" t="s">
        <v>5159</v>
      </c>
      <c r="M32" s="81" t="str">
        <f>""</f>
        <v/>
      </c>
      <c r="N32" s="81" t="str">
        <f>""</f>
        <v/>
      </c>
      <c r="O32" s="81" t="str">
        <f>""</f>
        <v/>
      </c>
      <c r="P32" s="81" t="str">
        <f>""</f>
        <v/>
      </c>
      <c r="Q32" s="81" t="str">
        <f>""</f>
        <v/>
      </c>
      <c r="R32" s="81" t="str">
        <f>""</f>
        <v/>
      </c>
      <c r="S32" s="81" t="str">
        <f>""</f>
        <v/>
      </c>
      <c r="T32" s="81" t="str">
        <f>""</f>
        <v/>
      </c>
      <c r="U32" s="81" t="str">
        <f>""</f>
        <v/>
      </c>
      <c r="V32" s="81" t="str">
        <f>""</f>
        <v/>
      </c>
      <c r="W32" s="81" t="str">
        <f>""</f>
        <v/>
      </c>
      <c r="X32" s="81" t="str">
        <f>""</f>
        <v/>
      </c>
      <c r="Y32" s="81" t="str">
        <f>""</f>
        <v/>
      </c>
      <c r="Z32" s="81" t="str">
        <f>""</f>
        <v/>
      </c>
      <c r="AA32" s="81" t="str">
        <f>""</f>
        <v/>
      </c>
      <c r="AB32" s="82" t="str">
        <f>""</f>
        <v/>
      </c>
      <c r="AD32" s="129" t="str">
        <f t="array" ref="AD32">INDEX(L:L,SMALL(IF(L2:L51&lt;&gt;"",ROW(2:51),52),ROW(L31)))&amp;""</f>
        <v>化兽者</v>
      </c>
    </row>
    <row r="33" spans="1:33" ht="14.4" customHeight="1">
      <c r="A33" s="132" t="s">
        <v>4810</v>
      </c>
      <c r="B33" s="132"/>
      <c r="C33" s="132">
        <v>6</v>
      </c>
      <c r="D33" s="132">
        <v>7</v>
      </c>
      <c r="E33" s="77" t="s">
        <v>167</v>
      </c>
      <c r="F33" s="79" t="s">
        <v>4815</v>
      </c>
      <c r="G33" s="79" t="s">
        <v>241</v>
      </c>
      <c r="H33" s="79" t="s">
        <v>5313</v>
      </c>
      <c r="I33" s="79" t="s">
        <v>4816</v>
      </c>
      <c r="J33" s="80" t="s">
        <v>5511</v>
      </c>
      <c r="K33" s="79"/>
      <c r="L33" s="90" t="s">
        <v>5160</v>
      </c>
      <c r="M33" s="81" t="str">
        <f>""</f>
        <v/>
      </c>
      <c r="N33" s="81" t="str">
        <f>""</f>
        <v/>
      </c>
      <c r="O33" s="81" t="str">
        <f>""</f>
        <v/>
      </c>
      <c r="P33" s="81" t="str">
        <f>""</f>
        <v/>
      </c>
      <c r="Q33" s="81" t="str">
        <f>""</f>
        <v/>
      </c>
      <c r="R33" s="81" t="str">
        <f>""</f>
        <v/>
      </c>
      <c r="S33" s="81" t="str">
        <f>""</f>
        <v/>
      </c>
      <c r="T33" s="81" t="str">
        <f>""</f>
        <v/>
      </c>
      <c r="U33" s="81" t="str">
        <f>""</f>
        <v/>
      </c>
      <c r="V33" s="81" t="str">
        <f>""</f>
        <v/>
      </c>
      <c r="W33" s="81" t="str">
        <f>""</f>
        <v/>
      </c>
      <c r="X33" s="81" t="str">
        <f>""</f>
        <v/>
      </c>
      <c r="Y33" s="81" t="str">
        <f>""</f>
        <v/>
      </c>
      <c r="Z33" s="81" t="str">
        <f>""</f>
        <v/>
      </c>
      <c r="AA33" s="81" t="str">
        <f>""</f>
        <v/>
      </c>
      <c r="AB33" s="82" t="str">
        <f>""</f>
        <v/>
      </c>
      <c r="AD33" s="129" t="str">
        <f t="array" ref="AD33">INDEX(L:L,SMALL(IF(L2:L51&lt;&gt;"",ROW(2:51),52),ROW(L32)))&amp;""</f>
        <v>机关人</v>
      </c>
    </row>
    <row r="34" spans="1:33" ht="14.4" customHeight="1">
      <c r="A34" s="135" t="s">
        <v>4812</v>
      </c>
      <c r="C34" s="81">
        <v>8</v>
      </c>
      <c r="D34" s="76">
        <f>IF(AG2&lt;5,8,9)</f>
        <v>8</v>
      </c>
      <c r="E34" s="77" t="s">
        <v>168</v>
      </c>
      <c r="F34" s="79" t="s">
        <v>4817</v>
      </c>
      <c r="G34" s="79" t="str">
        <f>G33</f>
        <v>小型</v>
      </c>
      <c r="H34" s="79" t="s">
        <v>5519</v>
      </c>
      <c r="I34" s="79" t="s">
        <v>4816</v>
      </c>
      <c r="J34" s="80" t="s">
        <v>5511</v>
      </c>
      <c r="K34" s="79"/>
      <c r="L34" s="91" t="s">
        <v>5161</v>
      </c>
      <c r="M34" s="81" t="str">
        <f>""</f>
        <v/>
      </c>
      <c r="N34" s="81" t="str">
        <f>""</f>
        <v/>
      </c>
      <c r="O34" s="81" t="str">
        <f>""</f>
        <v/>
      </c>
      <c r="P34" s="81" t="str">
        <f>""</f>
        <v/>
      </c>
      <c r="Q34" s="81" t="str">
        <f>""</f>
        <v/>
      </c>
      <c r="R34" s="81" t="str">
        <f>""</f>
        <v/>
      </c>
      <c r="S34" s="81" t="str">
        <f>""</f>
        <v/>
      </c>
      <c r="T34" s="81" t="str">
        <f>""</f>
        <v/>
      </c>
      <c r="U34" s="81" t="str">
        <f>""</f>
        <v/>
      </c>
      <c r="V34" s="81" t="str">
        <f>""</f>
        <v/>
      </c>
      <c r="W34" s="81" t="str">
        <f>""</f>
        <v/>
      </c>
      <c r="X34" s="81" t="str">
        <f>""</f>
        <v/>
      </c>
      <c r="Y34" s="81" t="str">
        <f>""</f>
        <v/>
      </c>
      <c r="Z34" s="81" t="str">
        <f>""</f>
        <v/>
      </c>
      <c r="AA34" s="81" t="str">
        <f>""</f>
        <v/>
      </c>
      <c r="AB34" s="82" t="str">
        <f>""</f>
        <v/>
      </c>
      <c r="AD34" s="129" t="str">
        <f t="array" ref="AD34">INDEX(L:L,SMALL(IF(L2:L51&lt;&gt;"",ROW(2:51),52),ROW(L33)))&amp;""</f>
        <v>阿兰寇拉鹰人</v>
      </c>
    </row>
    <row r="35" spans="1:33" ht="14.4" customHeight="1">
      <c r="A35" s="135" t="s">
        <v>4813</v>
      </c>
      <c r="B35" s="76"/>
      <c r="C35" s="76">
        <v>10</v>
      </c>
      <c r="D35" s="76">
        <f>IF(AG2&lt;5,11,12)</f>
        <v>11</v>
      </c>
      <c r="E35" s="86" t="s">
        <v>166</v>
      </c>
      <c r="F35" s="79" t="s">
        <v>4757</v>
      </c>
      <c r="G35" s="79" t="str">
        <f>G33</f>
        <v>小型</v>
      </c>
      <c r="H35" s="79" t="s">
        <v>5312</v>
      </c>
      <c r="I35" s="79" t="s">
        <v>4758</v>
      </c>
      <c r="J35" s="80" t="s">
        <v>5511</v>
      </c>
      <c r="K35" s="79"/>
      <c r="L35" s="91" t="s">
        <v>5162</v>
      </c>
      <c r="M35" s="132" t="s">
        <v>4804</v>
      </c>
      <c r="N35" s="132" t="s">
        <v>4805</v>
      </c>
      <c r="O35" s="132" t="s">
        <v>4806</v>
      </c>
      <c r="P35" s="132" t="s">
        <v>4807</v>
      </c>
      <c r="Q35" s="81" t="str">
        <f>""</f>
        <v/>
      </c>
      <c r="R35" s="81" t="str">
        <f>""</f>
        <v/>
      </c>
      <c r="S35" s="81" t="str">
        <f>""</f>
        <v/>
      </c>
      <c r="T35" s="81" t="str">
        <f>""</f>
        <v/>
      </c>
      <c r="U35" s="81" t="str">
        <f>""</f>
        <v/>
      </c>
      <c r="V35" s="81" t="str">
        <f>""</f>
        <v/>
      </c>
      <c r="W35" s="81" t="str">
        <f>""</f>
        <v/>
      </c>
      <c r="X35" s="81" t="str">
        <f>""</f>
        <v/>
      </c>
      <c r="Y35" s="81" t="str">
        <f>""</f>
        <v/>
      </c>
      <c r="Z35" s="81" t="str">
        <f>""</f>
        <v/>
      </c>
      <c r="AA35" s="81" t="str">
        <f>""</f>
        <v/>
      </c>
      <c r="AB35" s="82" t="str">
        <f>""</f>
        <v/>
      </c>
      <c r="AD35" s="129" t="str">
        <f t="array" ref="AD35">INDEX(L:L,SMALL(IF(L2:L51&lt;&gt;"",ROW(2:51),52),ROW(L34)))&amp;""</f>
        <v>元素裔</v>
      </c>
      <c r="AE35" s="76"/>
    </row>
    <row r="36" spans="1:33" ht="14.4" customHeight="1">
      <c r="A36" s="135" t="s">
        <v>4814</v>
      </c>
      <c r="B36" s="76"/>
      <c r="C36" s="76">
        <v>13</v>
      </c>
      <c r="D36" s="76">
        <f>IF(AG2&lt;5,13,14)</f>
        <v>13</v>
      </c>
      <c r="E36" s="90" t="s">
        <v>4818</v>
      </c>
      <c r="F36" s="79" t="s">
        <v>4809</v>
      </c>
      <c r="G36" s="79" t="str">
        <f>G33</f>
        <v>小型</v>
      </c>
      <c r="H36" s="79" t="s">
        <v>5519</v>
      </c>
      <c r="I36" s="79" t="s">
        <v>4816</v>
      </c>
      <c r="J36" s="80" t="s">
        <v>5511</v>
      </c>
      <c r="K36" s="79"/>
      <c r="L36" s="91" t="s">
        <v>5163</v>
      </c>
      <c r="M36" s="81" t="str">
        <f>""</f>
        <v/>
      </c>
      <c r="N36" s="81" t="str">
        <f>""</f>
        <v/>
      </c>
      <c r="O36" s="81" t="str">
        <f>""</f>
        <v/>
      </c>
      <c r="P36" s="81" t="str">
        <f>""</f>
        <v/>
      </c>
      <c r="Q36" s="81" t="str">
        <f>""</f>
        <v/>
      </c>
      <c r="R36" s="81" t="str">
        <f>""</f>
        <v/>
      </c>
      <c r="S36" s="81" t="str">
        <f>""</f>
        <v/>
      </c>
      <c r="T36" s="81" t="str">
        <f>""</f>
        <v/>
      </c>
      <c r="U36" s="81" t="str">
        <f>""</f>
        <v/>
      </c>
      <c r="V36" s="81" t="str">
        <f>""</f>
        <v/>
      </c>
      <c r="W36" s="81" t="str">
        <f>""</f>
        <v/>
      </c>
      <c r="X36" s="81" t="str">
        <f>""</f>
        <v/>
      </c>
      <c r="Y36" s="81" t="str">
        <f>""</f>
        <v/>
      </c>
      <c r="Z36" s="81" t="str">
        <f>""</f>
        <v/>
      </c>
      <c r="AA36" s="81" t="str">
        <f>""</f>
        <v/>
      </c>
      <c r="AB36" s="82" t="str">
        <f>""</f>
        <v/>
      </c>
      <c r="AD36" s="129" t="str">
        <f t="array" ref="AD36">INDEX(L:L,SMALL(IF(L2:L51&lt;&gt;"",ROW(2:51),52),ROW(L35)))&amp;""</f>
        <v>龟人</v>
      </c>
      <c r="AE36" s="76"/>
    </row>
    <row r="37" spans="1:33" ht="14.4" customHeight="1">
      <c r="A37" s="131" t="s">
        <v>165</v>
      </c>
      <c r="B37" s="131">
        <v>6</v>
      </c>
      <c r="C37" s="131">
        <v>1</v>
      </c>
      <c r="D37" s="131">
        <v>2</v>
      </c>
      <c r="E37" s="77" t="s">
        <v>174</v>
      </c>
      <c r="F37" s="79" t="s">
        <v>4819</v>
      </c>
      <c r="G37" s="79" t="s">
        <v>182</v>
      </c>
      <c r="H37" s="79" t="s">
        <v>5312</v>
      </c>
      <c r="I37" s="79" t="s">
        <v>4820</v>
      </c>
      <c r="J37" s="80" t="s">
        <v>5511</v>
      </c>
      <c r="K37" s="79"/>
      <c r="L37" s="92" t="s">
        <v>5164</v>
      </c>
      <c r="M37" s="81" t="str">
        <f>""</f>
        <v/>
      </c>
      <c r="N37" s="81" t="str">
        <f>""</f>
        <v/>
      </c>
      <c r="O37" s="81" t="str">
        <f>""</f>
        <v/>
      </c>
      <c r="P37" s="81" t="str">
        <f>""</f>
        <v/>
      </c>
      <c r="Q37" s="81" t="str">
        <f>""</f>
        <v/>
      </c>
      <c r="R37" s="81" t="str">
        <f>""</f>
        <v/>
      </c>
      <c r="S37" s="81" t="str">
        <f>""</f>
        <v/>
      </c>
      <c r="T37" s="81" t="str">
        <f>""</f>
        <v/>
      </c>
      <c r="U37" s="81" t="str">
        <f>""</f>
        <v/>
      </c>
      <c r="V37" s="81" t="str">
        <f>""</f>
        <v/>
      </c>
      <c r="W37" s="81" t="str">
        <f>""</f>
        <v/>
      </c>
      <c r="X37" s="81" t="str">
        <f>""</f>
        <v/>
      </c>
      <c r="Y37" s="81" t="str">
        <f>""</f>
        <v/>
      </c>
      <c r="Z37" s="81" t="str">
        <f>""</f>
        <v/>
      </c>
      <c r="AA37" s="81" t="str">
        <f>""</f>
        <v/>
      </c>
      <c r="AB37" s="82" t="str">
        <f>""</f>
        <v/>
      </c>
      <c r="AD37" s="129" t="str">
        <f t="array" ref="AD37">INDEX(L:L,SMALL(IF(L2:L51&lt;&gt;"",ROW(2:51),52),ROW(L36)))&amp;""</f>
        <v>佛丹人</v>
      </c>
      <c r="AE37" s="76"/>
    </row>
    <row r="38" spans="1:33" ht="14.4" customHeight="1">
      <c r="A38" s="76" t="s">
        <v>167</v>
      </c>
      <c r="B38" s="76"/>
      <c r="C38" s="76">
        <v>3</v>
      </c>
      <c r="D38" s="76">
        <v>4</v>
      </c>
      <c r="E38" s="136" t="s">
        <v>4777</v>
      </c>
      <c r="F38" s="79" t="str">
        <f>F37</f>
        <v>魅力+2，自选两项其他属性各+1</v>
      </c>
      <c r="G38" s="79" t="str">
        <f>G37</f>
        <v>中型</v>
      </c>
      <c r="H38" s="79" t="s">
        <v>5312</v>
      </c>
      <c r="I38" s="79" t="s">
        <v>4820</v>
      </c>
      <c r="J38" s="80" t="s">
        <v>5511</v>
      </c>
      <c r="K38" s="79"/>
      <c r="L38" s="93" t="s">
        <v>5165</v>
      </c>
      <c r="M38" s="81" t="str">
        <f>""</f>
        <v/>
      </c>
      <c r="N38" s="81" t="str">
        <f>""</f>
        <v/>
      </c>
      <c r="O38" s="81" t="str">
        <f>""</f>
        <v/>
      </c>
      <c r="P38" s="81" t="str">
        <f>""</f>
        <v/>
      </c>
      <c r="Q38" s="81" t="str">
        <f>""</f>
        <v/>
      </c>
      <c r="R38" s="81" t="str">
        <f>""</f>
        <v/>
      </c>
      <c r="S38" s="81" t="str">
        <f>""</f>
        <v/>
      </c>
      <c r="T38" s="81" t="str">
        <f>""</f>
        <v/>
      </c>
      <c r="U38" s="81" t="str">
        <f>""</f>
        <v/>
      </c>
      <c r="V38" s="81" t="str">
        <f>""</f>
        <v/>
      </c>
      <c r="W38" s="81" t="str">
        <f>""</f>
        <v/>
      </c>
      <c r="X38" s="81" t="str">
        <f>""</f>
        <v/>
      </c>
      <c r="Y38" s="81" t="str">
        <f>""</f>
        <v/>
      </c>
      <c r="Z38" s="81" t="str">
        <f>""</f>
        <v/>
      </c>
      <c r="AA38" s="81" t="str">
        <f>""</f>
        <v/>
      </c>
      <c r="AB38" s="82" t="str">
        <f>""</f>
        <v/>
      </c>
      <c r="AD38" s="129" t="str">
        <f t="array" ref="AD38">INDEX(L:L,SMALL(IF(L2:L51&lt;&gt;"",ROW(2:51),52),ROW(L37)))&amp;""</f>
        <v>狮族</v>
      </c>
      <c r="AE38" s="76"/>
    </row>
    <row r="39" spans="1:33" ht="14.4" customHeight="1">
      <c r="A39" s="76" t="s">
        <v>168</v>
      </c>
      <c r="B39" s="76"/>
      <c r="C39" s="76">
        <v>5</v>
      </c>
      <c r="D39" s="76">
        <v>6</v>
      </c>
      <c r="E39" s="136" t="s">
        <v>4821</v>
      </c>
      <c r="F39" s="79" t="str">
        <f>F37</f>
        <v>魅力+2，自选两项其他属性各+1</v>
      </c>
      <c r="G39" s="79" t="str">
        <f>G37</f>
        <v>中型</v>
      </c>
      <c r="H39" s="79" t="s">
        <v>5312</v>
      </c>
      <c r="I39" s="79" t="s">
        <v>4820</v>
      </c>
      <c r="J39" s="80" t="s">
        <v>5511</v>
      </c>
      <c r="K39" s="79"/>
      <c r="L39" s="93" t="s">
        <v>5166</v>
      </c>
      <c r="M39" s="81" t="str">
        <f>""</f>
        <v/>
      </c>
      <c r="N39" s="81" t="str">
        <f>""</f>
        <v/>
      </c>
      <c r="O39" s="81" t="str">
        <f>""</f>
        <v/>
      </c>
      <c r="P39" s="81" t="str">
        <f>""</f>
        <v/>
      </c>
      <c r="Q39" s="81" t="str">
        <f>""</f>
        <v/>
      </c>
      <c r="R39" s="81" t="str">
        <f>""</f>
        <v/>
      </c>
      <c r="S39" s="81" t="str">
        <f>""</f>
        <v/>
      </c>
      <c r="T39" s="81" t="str">
        <f>""</f>
        <v/>
      </c>
      <c r="U39" s="81" t="str">
        <f>""</f>
        <v/>
      </c>
      <c r="V39" s="81" t="str">
        <f>""</f>
        <v/>
      </c>
      <c r="W39" s="81" t="str">
        <f>""</f>
        <v/>
      </c>
      <c r="X39" s="81" t="str">
        <f>""</f>
        <v/>
      </c>
      <c r="Y39" s="81" t="str">
        <f>""</f>
        <v/>
      </c>
      <c r="Z39" s="81" t="str">
        <f>""</f>
        <v/>
      </c>
      <c r="AA39" s="81" t="str">
        <f>""</f>
        <v/>
      </c>
      <c r="AB39" s="82" t="str">
        <f>""</f>
        <v/>
      </c>
      <c r="AD39" s="129" t="str">
        <f t="array" ref="AD39">INDEX(L:L,SMALL(IF(L2:L51&lt;&gt;"",ROW(2:51),52),ROW(L38)))&amp;""</f>
        <v>半羊人</v>
      </c>
      <c r="AE39" s="76"/>
    </row>
    <row r="40" spans="1:33" ht="14.4" customHeight="1">
      <c r="A40" s="127" t="s">
        <v>166</v>
      </c>
      <c r="B40" s="127"/>
      <c r="C40" s="127">
        <v>7</v>
      </c>
      <c r="D40" s="127">
        <f>IF(AG2&lt;3,8,9)</f>
        <v>8</v>
      </c>
      <c r="E40" s="136" t="s">
        <v>4822</v>
      </c>
      <c r="F40" s="79" t="str">
        <f>F39</f>
        <v>魅力+2，自选两项其他属性各+1</v>
      </c>
      <c r="G40" s="79" t="str">
        <f>G39</f>
        <v>中型</v>
      </c>
      <c r="H40" s="79" t="s">
        <v>5312</v>
      </c>
      <c r="I40" s="79" t="s">
        <v>4820</v>
      </c>
      <c r="J40" s="80" t="s">
        <v>5511</v>
      </c>
      <c r="K40" s="79"/>
      <c r="L40" s="142" t="s">
        <v>5167</v>
      </c>
      <c r="M40" s="81" t="str">
        <f>""</f>
        <v/>
      </c>
      <c r="N40" s="81" t="str">
        <f>""</f>
        <v/>
      </c>
      <c r="O40" s="81" t="str">
        <f>""</f>
        <v/>
      </c>
      <c r="P40" s="81" t="str">
        <f>""</f>
        <v/>
      </c>
      <c r="Q40" s="81" t="str">
        <f>""</f>
        <v/>
      </c>
      <c r="R40" s="81" t="str">
        <f>""</f>
        <v/>
      </c>
      <c r="S40" s="81" t="str">
        <f>""</f>
        <v/>
      </c>
      <c r="T40" s="81" t="str">
        <f>""</f>
        <v/>
      </c>
      <c r="U40" s="81" t="str">
        <f>""</f>
        <v/>
      </c>
      <c r="V40" s="81" t="str">
        <f>""</f>
        <v/>
      </c>
      <c r="W40" s="81" t="str">
        <f>""</f>
        <v/>
      </c>
      <c r="X40" s="81" t="str">
        <f>""</f>
        <v/>
      </c>
      <c r="Y40" s="81" t="str">
        <f>""</f>
        <v/>
      </c>
      <c r="Z40" s="81" t="str">
        <f>""</f>
        <v/>
      </c>
      <c r="AA40" s="81" t="str">
        <f>""</f>
        <v/>
      </c>
      <c r="AB40" s="82" t="str">
        <f>""</f>
        <v/>
      </c>
      <c r="AD40" s="129" t="str">
        <f t="array" ref="AD40">INDEX(L:L,SMALL(IF(L2:L51&lt;&gt;"",ROW(2:51),52),ROW(L39)))&amp;""</f>
        <v>枭人</v>
      </c>
      <c r="AE40" s="76"/>
    </row>
    <row r="41" spans="1:33" ht="14.4" customHeight="1">
      <c r="A41" s="128" t="s">
        <v>4818</v>
      </c>
      <c r="B41" s="128"/>
      <c r="C41" s="128">
        <v>10</v>
      </c>
      <c r="D41" s="128">
        <v>12</v>
      </c>
      <c r="E41" s="136" t="s">
        <v>4782</v>
      </c>
      <c r="F41" s="79" t="str">
        <f>F37</f>
        <v>魅力+2，自选两项其他属性各+1</v>
      </c>
      <c r="G41" s="79" t="str">
        <f>G37</f>
        <v>中型</v>
      </c>
      <c r="H41" s="79" t="s">
        <v>5312</v>
      </c>
      <c r="I41" s="79" t="s">
        <v>4820</v>
      </c>
      <c r="J41" s="80" t="s">
        <v>5511</v>
      </c>
      <c r="K41" s="79"/>
      <c r="L41" s="143" t="s">
        <v>5168</v>
      </c>
      <c r="M41" s="81" t="str">
        <f>""</f>
        <v/>
      </c>
      <c r="N41" s="81" t="str">
        <f>""</f>
        <v/>
      </c>
      <c r="O41" s="81" t="str">
        <f>""</f>
        <v/>
      </c>
      <c r="P41" s="81" t="str">
        <f>""</f>
        <v/>
      </c>
      <c r="Q41" s="81" t="str">
        <f>""</f>
        <v/>
      </c>
      <c r="R41" s="81" t="str">
        <f>""</f>
        <v/>
      </c>
      <c r="S41" s="81" t="str">
        <f>""</f>
        <v/>
      </c>
      <c r="T41" s="81" t="str">
        <f>""</f>
        <v/>
      </c>
      <c r="U41" s="81" t="str">
        <f>""</f>
        <v/>
      </c>
      <c r="V41" s="81" t="str">
        <f>""</f>
        <v/>
      </c>
      <c r="W41" s="81" t="str">
        <f>""</f>
        <v/>
      </c>
      <c r="X41" s="81" t="str">
        <f>""</f>
        <v/>
      </c>
      <c r="Y41" s="81" t="str">
        <f>""</f>
        <v/>
      </c>
      <c r="Z41" s="81" t="str">
        <f>""</f>
        <v/>
      </c>
      <c r="AA41" s="81" t="str">
        <f>""</f>
        <v/>
      </c>
      <c r="AB41" s="82" t="str">
        <f>""</f>
        <v/>
      </c>
      <c r="AD41" s="129" t="str">
        <f t="array" ref="AD41">INDEX(L:L,SMALL(IF(L2:L51&lt;&gt;"",ROW(2:51),52),ROW(L40)))&amp;""</f>
        <v>仙灵</v>
      </c>
      <c r="AE41" s="76"/>
    </row>
    <row r="42" spans="1:33" ht="14.4" customHeight="1">
      <c r="A42" s="131" t="s">
        <v>174</v>
      </c>
      <c r="B42" s="131">
        <v>7</v>
      </c>
      <c r="C42" s="131">
        <v>1</v>
      </c>
      <c r="D42" s="131">
        <f>IF(COUNTIF(R8:S8,AG4),2,3)</f>
        <v>3</v>
      </c>
      <c r="E42" s="136" t="s">
        <v>4785</v>
      </c>
      <c r="F42" s="79" t="str">
        <f>F37</f>
        <v>魅力+2，自选两项其他属性各+1</v>
      </c>
      <c r="G42" s="79" t="str">
        <f>G37</f>
        <v>中型</v>
      </c>
      <c r="H42" s="79" t="s">
        <v>5312</v>
      </c>
      <c r="I42" s="79" t="s">
        <v>4820</v>
      </c>
      <c r="J42" s="80" t="s">
        <v>5511</v>
      </c>
      <c r="K42" s="79"/>
      <c r="L42" s="143" t="s">
        <v>5169</v>
      </c>
      <c r="M42" s="81" t="str">
        <f>""</f>
        <v/>
      </c>
      <c r="N42" s="81" t="str">
        <f>""</f>
        <v/>
      </c>
      <c r="O42" s="81" t="str">
        <f>""</f>
        <v/>
      </c>
      <c r="P42" s="81" t="str">
        <f>""</f>
        <v/>
      </c>
      <c r="Q42" s="81" t="str">
        <f>""</f>
        <v/>
      </c>
      <c r="R42" s="81" t="str">
        <f>""</f>
        <v/>
      </c>
      <c r="S42" s="81" t="str">
        <f>""</f>
        <v/>
      </c>
      <c r="T42" s="81" t="str">
        <f>""</f>
        <v/>
      </c>
      <c r="U42" s="81" t="str">
        <f>""</f>
        <v/>
      </c>
      <c r="V42" s="81" t="str">
        <f>""</f>
        <v/>
      </c>
      <c r="W42" s="81" t="str">
        <f>""</f>
        <v/>
      </c>
      <c r="X42" s="81" t="str">
        <f>""</f>
        <v/>
      </c>
      <c r="Y42" s="81" t="str">
        <f>""</f>
        <v/>
      </c>
      <c r="Z42" s="81" t="str">
        <f>""</f>
        <v/>
      </c>
      <c r="AA42" s="81" t="str">
        <f>""</f>
        <v/>
      </c>
      <c r="AB42" s="82" t="str">
        <f>""</f>
        <v/>
      </c>
      <c r="AD42" s="129" t="str">
        <f t="array" ref="AD42">INDEX(L:L,SMALL(IF(L2:L51&lt;&gt;"",ROW(2:51),52),ROW(L41)))&amp;""</f>
        <v>兔人</v>
      </c>
      <c r="AE42" s="76"/>
    </row>
    <row r="43" spans="1:33" ht="14.4" customHeight="1">
      <c r="A43" s="96" t="s">
        <v>4777</v>
      </c>
      <c r="B43" s="96"/>
      <c r="C43" s="96">
        <v>4</v>
      </c>
      <c r="D43" s="96">
        <v>6</v>
      </c>
      <c r="E43" s="90" t="s">
        <v>4823</v>
      </c>
      <c r="F43" s="79" t="s">
        <v>4795</v>
      </c>
      <c r="G43" s="79" t="str">
        <f>G37</f>
        <v>中型</v>
      </c>
      <c r="H43" s="79" t="s">
        <v>5312</v>
      </c>
      <c r="I43" s="79" t="s">
        <v>4820</v>
      </c>
      <c r="J43" s="80" t="s">
        <v>5511</v>
      </c>
      <c r="K43" s="79"/>
      <c r="L43" s="144" t="s">
        <v>5170</v>
      </c>
      <c r="M43" s="81" t="str">
        <f>""</f>
        <v/>
      </c>
      <c r="N43" s="81" t="str">
        <f>""</f>
        <v/>
      </c>
      <c r="O43" s="81" t="str">
        <f>""</f>
        <v/>
      </c>
      <c r="P43" s="81" t="str">
        <f>""</f>
        <v/>
      </c>
      <c r="Q43" s="81" t="str">
        <f>""</f>
        <v/>
      </c>
      <c r="R43" s="81" t="str">
        <f>""</f>
        <v/>
      </c>
      <c r="S43" s="81" t="str">
        <f>""</f>
        <v/>
      </c>
      <c r="T43" s="81" t="str">
        <f>""</f>
        <v/>
      </c>
      <c r="U43" s="81" t="str">
        <f>""</f>
        <v/>
      </c>
      <c r="V43" s="81" t="str">
        <f>""</f>
        <v/>
      </c>
      <c r="W43" s="81" t="str">
        <f>""</f>
        <v/>
      </c>
      <c r="X43" s="81" t="str">
        <f>""</f>
        <v/>
      </c>
      <c r="Y43" s="81" t="str">
        <f>""</f>
        <v/>
      </c>
      <c r="Z43" s="81" t="str">
        <f>""</f>
        <v/>
      </c>
      <c r="AA43" s="81" t="str">
        <f>""</f>
        <v/>
      </c>
      <c r="AB43" s="82" t="str">
        <f>""</f>
        <v/>
      </c>
      <c r="AD43" s="129" t="str">
        <f t="array" ref="AD43">INDEX(L:L,SMALL(IF(L2:L51&lt;&gt;"",ROW(2:51),52),ROW(L42)))&amp;""</f>
        <v>自动侏儒</v>
      </c>
      <c r="AG43" s="76"/>
    </row>
    <row r="44" spans="1:33" ht="14.4" customHeight="1">
      <c r="A44" s="96" t="s">
        <v>4821</v>
      </c>
      <c r="B44" s="96"/>
      <c r="C44" s="96">
        <v>7</v>
      </c>
      <c r="D44" s="96">
        <v>8</v>
      </c>
      <c r="E44" s="90" t="s">
        <v>4824</v>
      </c>
      <c r="F44" s="79" t="s">
        <v>4825</v>
      </c>
      <c r="G44" s="79" t="str">
        <f>G37</f>
        <v>中型</v>
      </c>
      <c r="H44" s="79" t="s">
        <v>5312</v>
      </c>
      <c r="I44" s="79" t="s">
        <v>4820</v>
      </c>
      <c r="J44" s="80" t="s">
        <v>5511</v>
      </c>
      <c r="K44" s="79"/>
      <c r="L44" s="144" t="s">
        <v>5495</v>
      </c>
      <c r="M44" s="81" t="str">
        <f>""</f>
        <v/>
      </c>
      <c r="N44" s="81" t="str">
        <f>""</f>
        <v/>
      </c>
      <c r="O44" s="81" t="str">
        <f>""</f>
        <v/>
      </c>
      <c r="P44" s="81" t="str">
        <f>""</f>
        <v/>
      </c>
      <c r="Q44" s="81" t="str">
        <f>""</f>
        <v/>
      </c>
      <c r="R44" s="81" t="str">
        <f>""</f>
        <v/>
      </c>
      <c r="S44" s="81" t="str">
        <f>""</f>
        <v/>
      </c>
      <c r="T44" s="81" t="str">
        <f>""</f>
        <v/>
      </c>
      <c r="U44" s="81" t="str">
        <f>""</f>
        <v/>
      </c>
      <c r="V44" s="81" t="str">
        <f>""</f>
        <v/>
      </c>
      <c r="W44" s="81" t="str">
        <f>""</f>
        <v/>
      </c>
      <c r="X44" s="81" t="str">
        <f>""</f>
        <v/>
      </c>
      <c r="Y44" s="81" t="str">
        <f>""</f>
        <v/>
      </c>
      <c r="Z44" s="81" t="str">
        <f>""</f>
        <v/>
      </c>
      <c r="AA44" s="81" t="str">
        <f>""</f>
        <v/>
      </c>
      <c r="AB44" s="82" t="str">
        <f>""</f>
        <v/>
      </c>
      <c r="AD44" s="129" t="str">
        <f t="array" ref="AD44">INDEX(L:L,SMALL(IF(L2:L51&lt;&gt;"",ROW(2:51),52),ROW(L43)))&amp;""</f>
        <v>诘弗人</v>
      </c>
    </row>
    <row r="45" spans="1:33" ht="14.4" customHeight="1">
      <c r="A45" s="96" t="s">
        <v>4822</v>
      </c>
      <c r="B45" s="96"/>
      <c r="C45" s="96">
        <v>8</v>
      </c>
      <c r="D45" s="96">
        <v>8</v>
      </c>
      <c r="E45" s="77" t="s">
        <v>179</v>
      </c>
      <c r="F45" s="79" t="s">
        <v>4811</v>
      </c>
      <c r="G45" s="79" t="s">
        <v>182</v>
      </c>
      <c r="H45" s="79" t="s">
        <v>5312</v>
      </c>
      <c r="I45" s="79" t="s">
        <v>4826</v>
      </c>
      <c r="J45" s="80" t="s">
        <v>5511</v>
      </c>
      <c r="K45" s="79"/>
      <c r="L45" s="144" t="s">
        <v>5500</v>
      </c>
      <c r="M45" s="81" t="str">
        <f>""</f>
        <v/>
      </c>
      <c r="N45" s="81" t="str">
        <f>""</f>
        <v/>
      </c>
      <c r="O45" s="81" t="str">
        <f>""</f>
        <v/>
      </c>
      <c r="P45" s="81" t="str">
        <f>""</f>
        <v/>
      </c>
      <c r="Q45" s="81" t="str">
        <f>""</f>
        <v/>
      </c>
      <c r="R45" s="81" t="str">
        <f>""</f>
        <v/>
      </c>
      <c r="S45" s="81" t="str">
        <f>""</f>
        <v/>
      </c>
      <c r="T45" s="81" t="str">
        <f>""</f>
        <v/>
      </c>
      <c r="U45" s="81" t="str">
        <f>""</f>
        <v/>
      </c>
      <c r="V45" s="81" t="str">
        <f>""</f>
        <v/>
      </c>
      <c r="W45" s="81" t="str">
        <f>""</f>
        <v/>
      </c>
      <c r="X45" s="81" t="str">
        <f>""</f>
        <v/>
      </c>
      <c r="Y45" s="81" t="str">
        <f>""</f>
        <v/>
      </c>
      <c r="Z45" s="81" t="str">
        <f>""</f>
        <v/>
      </c>
      <c r="AA45" s="81" t="str">
        <f>""</f>
        <v/>
      </c>
      <c r="AB45" s="82" t="str">
        <f>""</f>
        <v/>
      </c>
      <c r="AD45" s="129" t="str">
        <f t="array" ref="AD45">INDEX(L:L,SMALL(IF(L2:L51&lt;&gt;"",ROW(2:51),52),ROW(L44)))&amp;""</f>
        <v>鼯猴人</v>
      </c>
    </row>
    <row r="46" spans="1:33" ht="14.4" customHeight="1">
      <c r="A46" s="96" t="s">
        <v>4782</v>
      </c>
      <c r="B46" s="96"/>
      <c r="C46" s="96">
        <v>9</v>
      </c>
      <c r="D46" s="96">
        <v>9</v>
      </c>
      <c r="E46" s="90" t="s">
        <v>4791</v>
      </c>
      <c r="F46" s="79" t="str">
        <f>F22</f>
        <v>感知+2，体质+1</v>
      </c>
      <c r="G46" s="79" t="str">
        <f>G45</f>
        <v>中型</v>
      </c>
      <c r="H46" s="79" t="s">
        <v>5312</v>
      </c>
      <c r="I46" s="79" t="s">
        <v>5261</v>
      </c>
      <c r="J46" s="80" t="s">
        <v>5511</v>
      </c>
      <c r="K46" s="79"/>
      <c r="L46" s="144" t="s">
        <v>5171</v>
      </c>
      <c r="M46" s="81" t="str">
        <f>""</f>
        <v/>
      </c>
      <c r="N46" s="81" t="str">
        <f>""</f>
        <v/>
      </c>
      <c r="O46" s="81" t="str">
        <f>""</f>
        <v/>
      </c>
      <c r="P46" s="81" t="str">
        <f>""</f>
        <v/>
      </c>
      <c r="Q46" s="81" t="str">
        <f>""</f>
        <v/>
      </c>
      <c r="R46" s="81" t="str">
        <f>""</f>
        <v/>
      </c>
      <c r="S46" s="81" t="str">
        <f>""</f>
        <v/>
      </c>
      <c r="T46" s="81" t="str">
        <f>""</f>
        <v/>
      </c>
      <c r="U46" s="81" t="str">
        <f>""</f>
        <v/>
      </c>
      <c r="V46" s="81" t="str">
        <f>""</f>
        <v/>
      </c>
      <c r="W46" s="81" t="str">
        <f>""</f>
        <v/>
      </c>
      <c r="X46" s="81" t="str">
        <f>""</f>
        <v/>
      </c>
      <c r="Y46" s="81" t="str">
        <f>""</f>
        <v/>
      </c>
      <c r="Z46" s="81" t="str">
        <f>""</f>
        <v/>
      </c>
      <c r="AA46" s="81" t="str">
        <f>""</f>
        <v/>
      </c>
      <c r="AB46" s="82" t="str">
        <f>""</f>
        <v/>
      </c>
      <c r="AD46" s="129" t="str">
        <f t="array" ref="AD46">INDEX(L:L,SMALL(IF(L2:L51&lt;&gt;"",ROW(2:51),52),ROW(L45)))&amp;""</f>
        <v>流浆体</v>
      </c>
    </row>
    <row r="47" spans="1:33" ht="14.4" customHeight="1">
      <c r="A47" s="96" t="s">
        <v>4785</v>
      </c>
      <c r="B47" s="96"/>
      <c r="C47" s="96">
        <v>10</v>
      </c>
      <c r="D47" s="96">
        <v>10</v>
      </c>
      <c r="E47" s="77" t="s">
        <v>187</v>
      </c>
      <c r="F47" s="79" t="s">
        <v>4827</v>
      </c>
      <c r="G47" s="79" t="s">
        <v>182</v>
      </c>
      <c r="H47" s="79" t="s">
        <v>5312</v>
      </c>
      <c r="I47" s="79" t="s">
        <v>4828</v>
      </c>
      <c r="J47" s="80" t="s">
        <v>5511</v>
      </c>
      <c r="K47" s="79"/>
      <c r="L47" s="144" t="s">
        <v>5532</v>
      </c>
      <c r="M47" s="81" t="str">
        <f>""</f>
        <v/>
      </c>
      <c r="N47" s="81" t="str">
        <f>""</f>
        <v/>
      </c>
      <c r="O47" s="81" t="str">
        <f>""</f>
        <v/>
      </c>
      <c r="P47" s="81" t="str">
        <f>""</f>
        <v/>
      </c>
      <c r="Q47" s="81" t="str">
        <f>""</f>
        <v/>
      </c>
      <c r="R47" s="81" t="str">
        <f>""</f>
        <v/>
      </c>
      <c r="S47" s="81" t="str">
        <f>""</f>
        <v/>
      </c>
      <c r="T47" s="81" t="str">
        <f>""</f>
        <v/>
      </c>
      <c r="U47" s="81" t="str">
        <f>""</f>
        <v/>
      </c>
      <c r="V47" s="81" t="str">
        <f>""</f>
        <v/>
      </c>
      <c r="W47" s="81" t="str">
        <f>""</f>
        <v/>
      </c>
      <c r="X47" s="81" t="str">
        <f>""</f>
        <v/>
      </c>
      <c r="Y47" s="81" t="str">
        <f>""</f>
        <v/>
      </c>
      <c r="Z47" s="81" t="str">
        <f>""</f>
        <v/>
      </c>
      <c r="AA47" s="81" t="str">
        <f>""</f>
        <v/>
      </c>
      <c r="AB47" s="82" t="str">
        <f>""</f>
        <v/>
      </c>
      <c r="AD47" s="129" t="str" cm="1">
        <f t="array" ref="AD47">INDEX(L:L,SMALL(IF(L2:L51&lt;&gt;"",ROW(2:51),52),ROW(L46)))&amp;""</f>
        <v>螳螂人</v>
      </c>
    </row>
    <row r="48" spans="1:33" ht="14.4" customHeight="1">
      <c r="A48" s="128" t="s">
        <v>4823</v>
      </c>
      <c r="B48" s="128"/>
      <c r="C48" s="128">
        <v>11</v>
      </c>
      <c r="D48" s="128">
        <v>13</v>
      </c>
      <c r="E48" s="136" t="s">
        <v>188</v>
      </c>
      <c r="F48" s="79" t="s">
        <v>4841</v>
      </c>
      <c r="G48" s="79" t="str">
        <f>G47</f>
        <v>中型</v>
      </c>
      <c r="H48" s="79" t="s">
        <v>5312</v>
      </c>
      <c r="I48" s="79" t="s">
        <v>4828</v>
      </c>
      <c r="J48" s="80" t="s">
        <v>5511</v>
      </c>
      <c r="K48" s="79"/>
      <c r="L48" s="77"/>
      <c r="M48" s="81" t="str">
        <f>""</f>
        <v/>
      </c>
      <c r="N48" s="81" t="str">
        <f>""</f>
        <v/>
      </c>
      <c r="O48" s="81" t="str">
        <f>""</f>
        <v/>
      </c>
      <c r="P48" s="81" t="str">
        <f>""</f>
        <v/>
      </c>
      <c r="Q48" s="81" t="str">
        <f>""</f>
        <v/>
      </c>
      <c r="R48" s="81" t="str">
        <f>""</f>
        <v/>
      </c>
      <c r="S48" s="81" t="str">
        <f>""</f>
        <v/>
      </c>
      <c r="T48" s="81" t="str">
        <f>""</f>
        <v/>
      </c>
      <c r="U48" s="81" t="str">
        <f>""</f>
        <v/>
      </c>
      <c r="V48" s="81" t="str">
        <f>""</f>
        <v/>
      </c>
      <c r="W48" s="81" t="str">
        <f>""</f>
        <v/>
      </c>
      <c r="X48" s="81" t="str">
        <f>""</f>
        <v/>
      </c>
      <c r="Y48" s="81" t="str">
        <f>""</f>
        <v/>
      </c>
      <c r="Z48" s="81" t="str">
        <f>""</f>
        <v/>
      </c>
      <c r="AA48" s="81" t="str">
        <f>""</f>
        <v/>
      </c>
      <c r="AB48" s="82" t="str">
        <f>""</f>
        <v/>
      </c>
      <c r="AD48" s="129" t="str">
        <f t="array" ref="AD48">INDEX(L:L,SMALL(IF(L2:L51&lt;&gt;"",ROW(2:51),52),ROW(L47)))&amp;""</f>
        <v/>
      </c>
    </row>
    <row r="49" spans="1:49" ht="14.4" customHeight="1">
      <c r="A49" s="128" t="s">
        <v>4824</v>
      </c>
      <c r="B49" s="128"/>
      <c r="C49" s="128">
        <v>14</v>
      </c>
      <c r="D49" s="128">
        <v>17</v>
      </c>
      <c r="E49" s="86" t="s">
        <v>189</v>
      </c>
      <c r="F49" s="79" t="s">
        <v>4843</v>
      </c>
      <c r="G49" s="79" t="str">
        <f>G47</f>
        <v>中型</v>
      </c>
      <c r="H49" s="79" t="s">
        <v>5312</v>
      </c>
      <c r="I49" s="79" t="s">
        <v>4828</v>
      </c>
      <c r="J49" s="80" t="s">
        <v>5511</v>
      </c>
      <c r="K49" s="79"/>
      <c r="L49" s="77"/>
      <c r="M49" s="76" t="str">
        <f>""</f>
        <v/>
      </c>
      <c r="N49" s="76" t="str">
        <f>""</f>
        <v/>
      </c>
      <c r="O49" s="76" t="str">
        <f>""</f>
        <v/>
      </c>
      <c r="P49" s="76" t="str">
        <f>""</f>
        <v/>
      </c>
      <c r="Q49" s="76" t="str">
        <f>""</f>
        <v/>
      </c>
      <c r="R49" s="76" t="str">
        <f>""</f>
        <v/>
      </c>
      <c r="S49" s="76" t="str">
        <f>""</f>
        <v/>
      </c>
      <c r="T49" s="76" t="str">
        <f>""</f>
        <v/>
      </c>
      <c r="U49" s="76" t="str">
        <f>""</f>
        <v/>
      </c>
      <c r="V49" s="76" t="str">
        <f>""</f>
        <v/>
      </c>
      <c r="W49" s="76" t="str">
        <f>""</f>
        <v/>
      </c>
      <c r="X49" s="76" t="str">
        <f>""</f>
        <v/>
      </c>
      <c r="Y49" s="76" t="str">
        <f>""</f>
        <v/>
      </c>
      <c r="Z49" s="76" t="str">
        <f>""</f>
        <v/>
      </c>
      <c r="AA49" s="76" t="str">
        <f>""</f>
        <v/>
      </c>
      <c r="AB49" s="82" t="str">
        <f>""</f>
        <v/>
      </c>
      <c r="AD49" s="129" t="str">
        <f t="array" ref="AD49">INDEX(L:L,SMALL(IF(L2:L51&lt;&gt;"",ROW(2:51),52),ROW(L48)))&amp;""</f>
        <v/>
      </c>
    </row>
    <row r="50" spans="1:49" ht="14.4" customHeight="1">
      <c r="A50" s="131" t="s">
        <v>179</v>
      </c>
      <c r="B50" s="131">
        <v>8</v>
      </c>
      <c r="C50" s="131">
        <v>1</v>
      </c>
      <c r="D50" s="131">
        <f>IF(COUNTIF(M9:N9,AG4),0,4)</f>
        <v>4</v>
      </c>
      <c r="E50" s="86" t="s">
        <v>190</v>
      </c>
      <c r="F50" s="79" t="s">
        <v>4825</v>
      </c>
      <c r="G50" s="79" t="str">
        <f>G47</f>
        <v>中型</v>
      </c>
      <c r="H50" s="79" t="s">
        <v>5312</v>
      </c>
      <c r="I50" s="79" t="s">
        <v>4828</v>
      </c>
      <c r="J50" s="80" t="s">
        <v>5511</v>
      </c>
      <c r="K50" s="79"/>
      <c r="L50" s="77"/>
      <c r="M50" s="76" t="str">
        <f>""</f>
        <v/>
      </c>
      <c r="N50" s="76" t="str">
        <f>""</f>
        <v/>
      </c>
      <c r="O50" s="76" t="str">
        <f>""</f>
        <v/>
      </c>
      <c r="P50" s="76" t="str">
        <f>""</f>
        <v/>
      </c>
      <c r="Q50" s="76" t="str">
        <f>""</f>
        <v/>
      </c>
      <c r="R50" s="76" t="str">
        <f>""</f>
        <v/>
      </c>
      <c r="S50" s="76" t="str">
        <f>""</f>
        <v/>
      </c>
      <c r="T50" s="76" t="str">
        <f>""</f>
        <v/>
      </c>
      <c r="U50" s="76" t="str">
        <f>""</f>
        <v/>
      </c>
      <c r="V50" s="76" t="str">
        <f>""</f>
        <v/>
      </c>
      <c r="W50" s="76" t="str">
        <f>""</f>
        <v/>
      </c>
      <c r="X50" s="76" t="str">
        <f>""</f>
        <v/>
      </c>
      <c r="Y50" s="76" t="str">
        <f>""</f>
        <v/>
      </c>
      <c r="Z50" s="76" t="str">
        <f>""</f>
        <v/>
      </c>
      <c r="AA50" s="76" t="str">
        <f>""</f>
        <v/>
      </c>
      <c r="AB50" s="82" t="str">
        <f>""</f>
        <v/>
      </c>
      <c r="AD50" s="129" t="str">
        <f t="array" ref="AD50">INDEX(L:L,SMALL(IF(L2:L51&lt;&gt;"",ROW(2:51),52),ROW(L49)))&amp;""</f>
        <v/>
      </c>
    </row>
    <row r="51" spans="1:49" ht="14.4" customHeight="1" thickBot="1">
      <c r="A51" s="128" t="s">
        <v>4791</v>
      </c>
      <c r="B51" s="128"/>
      <c r="C51" s="128">
        <f>IF(AG3=L5,3,5)</f>
        <v>5</v>
      </c>
      <c r="D51" s="128">
        <f>IF(AG3=L5,6,8)</f>
        <v>8</v>
      </c>
      <c r="E51" s="86" t="s">
        <v>191</v>
      </c>
      <c r="F51" s="79" t="s">
        <v>4864</v>
      </c>
      <c r="G51" s="79" t="str">
        <f>G47</f>
        <v>中型</v>
      </c>
      <c r="H51" s="79" t="s">
        <v>5312</v>
      </c>
      <c r="I51" s="79" t="s">
        <v>4828</v>
      </c>
      <c r="J51" s="80" t="s">
        <v>5511</v>
      </c>
      <c r="K51" s="79"/>
      <c r="L51" s="107"/>
      <c r="M51" s="94" t="str">
        <f>""</f>
        <v/>
      </c>
      <c r="N51" s="94" t="str">
        <f>""</f>
        <v/>
      </c>
      <c r="O51" s="94" t="str">
        <f>""</f>
        <v/>
      </c>
      <c r="P51" s="94" t="str">
        <f>""</f>
        <v/>
      </c>
      <c r="Q51" s="94" t="str">
        <f>""</f>
        <v/>
      </c>
      <c r="R51" s="94" t="str">
        <f>""</f>
        <v/>
      </c>
      <c r="S51" s="94" t="str">
        <f>""</f>
        <v/>
      </c>
      <c r="T51" s="94" t="str">
        <f>""</f>
        <v/>
      </c>
      <c r="U51" s="94" t="str">
        <f>""</f>
        <v/>
      </c>
      <c r="V51" s="94" t="str">
        <f>""</f>
        <v/>
      </c>
      <c r="W51" s="94" t="str">
        <f>""</f>
        <v/>
      </c>
      <c r="X51" s="94" t="str">
        <f>""</f>
        <v/>
      </c>
      <c r="Y51" s="94" t="str">
        <f>""</f>
        <v/>
      </c>
      <c r="Z51" s="94" t="str">
        <f>""</f>
        <v/>
      </c>
      <c r="AA51" s="94" t="str">
        <f>""</f>
        <v/>
      </c>
      <c r="AB51" s="139" t="str">
        <f>""</f>
        <v/>
      </c>
      <c r="AD51" s="145" t="str">
        <f t="array" ref="AD51">INDEX(L:L,SMALL(IF(L2:L51&lt;&gt;"",ROW(2:51),52),ROW(L50)))&amp;""</f>
        <v/>
      </c>
    </row>
    <row r="52" spans="1:49" ht="14.4" customHeight="1" thickBot="1">
      <c r="A52" s="131" t="s">
        <v>187</v>
      </c>
      <c r="B52" s="131">
        <v>9</v>
      </c>
      <c r="C52" s="131">
        <v>1</v>
      </c>
      <c r="D52" s="131">
        <f>IF(COUNTIF(N10:U10,AG4),2,3)</f>
        <v>3</v>
      </c>
      <c r="E52" s="86" t="s">
        <v>192</v>
      </c>
      <c r="F52" s="79" t="s">
        <v>4825</v>
      </c>
      <c r="G52" s="79" t="str">
        <f>G47</f>
        <v>中型</v>
      </c>
      <c r="H52" s="79" t="s">
        <v>5312</v>
      </c>
      <c r="I52" s="79" t="s">
        <v>4828</v>
      </c>
      <c r="J52" s="80" t="s">
        <v>5511</v>
      </c>
      <c r="K52" s="79"/>
    </row>
    <row r="53" spans="1:49" ht="14.4" customHeight="1">
      <c r="A53" s="96" t="s">
        <v>188</v>
      </c>
      <c r="B53" s="96"/>
      <c r="C53" s="96">
        <v>4</v>
      </c>
      <c r="D53" s="96">
        <v>6</v>
      </c>
      <c r="E53" s="86" t="s">
        <v>193</v>
      </c>
      <c r="F53" s="79" t="s">
        <v>4877</v>
      </c>
      <c r="G53" s="79" t="str">
        <f>G47</f>
        <v>中型</v>
      </c>
      <c r="H53" s="79" t="s">
        <v>5312</v>
      </c>
      <c r="I53" s="79" t="s">
        <v>4828</v>
      </c>
      <c r="J53" s="80" t="s">
        <v>5511</v>
      </c>
      <c r="K53" s="79"/>
      <c r="L53" s="108"/>
      <c r="M53" s="109">
        <v>1</v>
      </c>
      <c r="N53" s="109">
        <v>2</v>
      </c>
      <c r="O53" s="109">
        <v>3</v>
      </c>
      <c r="P53" s="109">
        <v>4</v>
      </c>
      <c r="Q53" s="109">
        <v>5</v>
      </c>
      <c r="R53" s="109">
        <v>6</v>
      </c>
      <c r="S53" s="109">
        <v>7</v>
      </c>
      <c r="T53" s="109">
        <v>8</v>
      </c>
      <c r="U53" s="109">
        <v>9</v>
      </c>
      <c r="V53" s="109">
        <v>10</v>
      </c>
      <c r="W53" s="109">
        <v>11</v>
      </c>
      <c r="X53" s="109">
        <v>12</v>
      </c>
      <c r="Y53" s="109">
        <v>13</v>
      </c>
      <c r="Z53" s="109">
        <v>14</v>
      </c>
      <c r="AA53" s="109">
        <v>15</v>
      </c>
      <c r="AB53" s="109">
        <v>16</v>
      </c>
      <c r="AC53" s="109">
        <v>17</v>
      </c>
      <c r="AD53" s="109">
        <v>18</v>
      </c>
      <c r="AE53" s="109">
        <v>19</v>
      </c>
      <c r="AF53" s="109">
        <v>20</v>
      </c>
      <c r="AG53" s="109">
        <v>21</v>
      </c>
      <c r="AH53" s="109">
        <v>22</v>
      </c>
      <c r="AI53" s="109">
        <v>23</v>
      </c>
      <c r="AJ53" s="109">
        <v>24</v>
      </c>
      <c r="AK53" s="109">
        <v>25</v>
      </c>
      <c r="AL53" s="109">
        <v>26</v>
      </c>
      <c r="AM53" s="109">
        <v>27</v>
      </c>
      <c r="AN53" s="109">
        <v>28</v>
      </c>
      <c r="AO53" s="109">
        <v>29</v>
      </c>
      <c r="AP53" s="109">
        <v>30</v>
      </c>
      <c r="AQ53" s="109">
        <v>31</v>
      </c>
      <c r="AR53" s="109">
        <v>32</v>
      </c>
      <c r="AS53" s="109">
        <v>33</v>
      </c>
      <c r="AT53" s="109">
        <v>34</v>
      </c>
      <c r="AU53" s="109">
        <v>35</v>
      </c>
      <c r="AV53" s="109">
        <v>36</v>
      </c>
      <c r="AW53" s="125">
        <v>37</v>
      </c>
    </row>
    <row r="54" spans="1:49" ht="14.4" customHeight="1">
      <c r="A54" s="127" t="s">
        <v>189</v>
      </c>
      <c r="B54" s="127"/>
      <c r="C54" s="127">
        <v>7</v>
      </c>
      <c r="D54" s="127">
        <v>7</v>
      </c>
      <c r="E54" s="86" t="s">
        <v>194</v>
      </c>
      <c r="F54" s="79" t="s">
        <v>4843</v>
      </c>
      <c r="G54" s="79" t="str">
        <f>G47</f>
        <v>中型</v>
      </c>
      <c r="H54" s="79" t="s">
        <v>5312</v>
      </c>
      <c r="I54" s="79" t="s">
        <v>4828</v>
      </c>
      <c r="J54" s="80" t="s">
        <v>5511</v>
      </c>
      <c r="K54" s="79"/>
      <c r="L54" s="788" t="s">
        <v>156</v>
      </c>
      <c r="M54" s="76" t="s">
        <v>160</v>
      </c>
      <c r="N54" s="76" t="s">
        <v>4829</v>
      </c>
      <c r="O54" s="76" t="s">
        <v>4830</v>
      </c>
      <c r="P54" s="76" t="s">
        <v>4831</v>
      </c>
      <c r="Q54" s="76" t="s">
        <v>4832</v>
      </c>
      <c r="R54" s="96" t="s">
        <v>4833</v>
      </c>
      <c r="S54" s="97" t="s">
        <v>4834</v>
      </c>
      <c r="T54" s="98" t="s">
        <v>4835</v>
      </c>
      <c r="U54" s="98" t="s">
        <v>4836</v>
      </c>
      <c r="V54" s="98" t="s">
        <v>4837</v>
      </c>
      <c r="W54" s="99" t="s">
        <v>4838</v>
      </c>
      <c r="X54" s="99" t="s">
        <v>4839</v>
      </c>
      <c r="Y54" s="99" t="s">
        <v>4840</v>
      </c>
      <c r="AW54" s="78"/>
    </row>
    <row r="55" spans="1:49" ht="14.4" customHeight="1">
      <c r="A55" s="127" t="s">
        <v>190</v>
      </c>
      <c r="B55" s="127"/>
      <c r="C55" s="127">
        <v>8</v>
      </c>
      <c r="D55" s="127">
        <v>8</v>
      </c>
      <c r="E55" s="86" t="s">
        <v>195</v>
      </c>
      <c r="F55" s="79" t="s">
        <v>4843</v>
      </c>
      <c r="G55" s="79" t="str">
        <f>G47</f>
        <v>中型</v>
      </c>
      <c r="H55" s="79" t="s">
        <v>5312</v>
      </c>
      <c r="I55" s="79" t="s">
        <v>4828</v>
      </c>
      <c r="J55" s="80" t="s">
        <v>5511</v>
      </c>
      <c r="K55" s="79"/>
      <c r="L55" s="788"/>
      <c r="M55" s="76" t="s">
        <v>5293</v>
      </c>
      <c r="N55" s="76" t="s">
        <v>5294</v>
      </c>
      <c r="O55" s="76" t="s">
        <v>5295</v>
      </c>
      <c r="P55" s="76" t="s">
        <v>5296</v>
      </c>
      <c r="Q55" s="76" t="s">
        <v>5297</v>
      </c>
      <c r="R55" s="96" t="s">
        <v>5298</v>
      </c>
      <c r="S55" s="97" t="s">
        <v>5299</v>
      </c>
      <c r="T55" s="98" t="s">
        <v>5301</v>
      </c>
      <c r="U55" s="98" t="s">
        <v>5302</v>
      </c>
      <c r="V55" s="98" t="s">
        <v>5303</v>
      </c>
      <c r="W55" s="99" t="s">
        <v>4842</v>
      </c>
      <c r="X55" s="99" t="s">
        <v>5304</v>
      </c>
      <c r="Y55" s="99" t="s">
        <v>5305</v>
      </c>
      <c r="AW55" s="78"/>
    </row>
    <row r="56" spans="1:49" ht="14.4" customHeight="1">
      <c r="A56" s="127" t="s">
        <v>191</v>
      </c>
      <c r="B56" s="127"/>
      <c r="C56" s="127">
        <v>9</v>
      </c>
      <c r="D56" s="127">
        <v>9</v>
      </c>
      <c r="E56" s="86" t="s">
        <v>196</v>
      </c>
      <c r="F56" s="79" t="s">
        <v>4904</v>
      </c>
      <c r="G56" s="79" t="str">
        <f>G47</f>
        <v>中型</v>
      </c>
      <c r="H56" s="79" t="s">
        <v>5312</v>
      </c>
      <c r="I56" s="79" t="s">
        <v>4828</v>
      </c>
      <c r="J56" s="80" t="s">
        <v>5511</v>
      </c>
      <c r="K56" s="79"/>
      <c r="L56" s="788" t="s">
        <v>143</v>
      </c>
      <c r="M56" s="76" t="s">
        <v>160</v>
      </c>
      <c r="N56" s="76" t="s">
        <v>4844</v>
      </c>
      <c r="O56" s="76" t="s">
        <v>4845</v>
      </c>
      <c r="P56" s="96" t="s">
        <v>4846</v>
      </c>
      <c r="Q56" s="96" t="s">
        <v>135</v>
      </c>
      <c r="R56" s="96" t="s">
        <v>4847</v>
      </c>
      <c r="S56" s="96" t="s">
        <v>5172</v>
      </c>
      <c r="T56" s="97" t="s">
        <v>4846</v>
      </c>
      <c r="U56" s="97" t="s">
        <v>4848</v>
      </c>
      <c r="V56" s="97" t="s">
        <v>4849</v>
      </c>
      <c r="W56" s="97" t="s">
        <v>5172</v>
      </c>
      <c r="X56" s="98" t="s">
        <v>4835</v>
      </c>
      <c r="Y56" s="98" t="s">
        <v>4850</v>
      </c>
      <c r="Z56" s="98" t="s">
        <v>4851</v>
      </c>
      <c r="AA56" s="98" t="s">
        <v>4852</v>
      </c>
      <c r="AB56" s="98" t="s">
        <v>5172</v>
      </c>
      <c r="AC56" s="99" t="s">
        <v>4853</v>
      </c>
      <c r="AD56" s="99" t="s">
        <v>5172</v>
      </c>
      <c r="AE56" s="100" t="s">
        <v>4855</v>
      </c>
      <c r="AF56" s="100" t="s">
        <v>4856</v>
      </c>
      <c r="AG56" s="100" t="s">
        <v>5172</v>
      </c>
      <c r="AH56" s="101" t="s">
        <v>4857</v>
      </c>
      <c r="AI56" s="101" t="s">
        <v>4858</v>
      </c>
      <c r="AJ56" s="101" t="s">
        <v>5172</v>
      </c>
      <c r="AK56" s="83" t="s">
        <v>4838</v>
      </c>
      <c r="AL56" s="83" t="s">
        <v>4859</v>
      </c>
      <c r="AM56" s="83" t="s">
        <v>4860</v>
      </c>
      <c r="AN56" s="83" t="s">
        <v>5172</v>
      </c>
      <c r="AO56" s="96" t="s">
        <v>4861</v>
      </c>
      <c r="AP56" s="96" t="s">
        <v>4862</v>
      </c>
      <c r="AQ56" s="96" t="s">
        <v>5172</v>
      </c>
      <c r="AR56" s="170" t="s">
        <v>5081</v>
      </c>
      <c r="AS56" s="170" t="s">
        <v>5082</v>
      </c>
      <c r="AT56" s="170" t="s">
        <v>5083</v>
      </c>
      <c r="AW56" s="78"/>
    </row>
    <row r="57" spans="1:49" ht="14.4" customHeight="1">
      <c r="A57" s="127" t="s">
        <v>192</v>
      </c>
      <c r="B57" s="127"/>
      <c r="C57" s="127">
        <v>10</v>
      </c>
      <c r="D57" s="127">
        <v>10</v>
      </c>
      <c r="E57" s="85" t="s">
        <v>4790</v>
      </c>
      <c r="F57" s="79" t="s">
        <v>4757</v>
      </c>
      <c r="G57" s="79" t="s">
        <v>4905</v>
      </c>
      <c r="H57" s="79" t="s">
        <v>5312</v>
      </c>
      <c r="I57" s="79" t="s">
        <v>4758</v>
      </c>
      <c r="J57" s="80" t="s">
        <v>5511</v>
      </c>
      <c r="K57" s="79"/>
      <c r="L57" s="788"/>
      <c r="M57" s="76" t="s">
        <v>5292</v>
      </c>
      <c r="N57" s="76" t="s">
        <v>5265</v>
      </c>
      <c r="O57" s="76" t="s">
        <v>5266</v>
      </c>
      <c r="P57" s="96" t="s">
        <v>5267</v>
      </c>
      <c r="Q57" s="96" t="s">
        <v>5307</v>
      </c>
      <c r="R57" s="96" t="s">
        <v>5308</v>
      </c>
      <c r="S57" s="96" t="s">
        <v>5173</v>
      </c>
      <c r="T57" s="97" t="s">
        <v>5267</v>
      </c>
      <c r="U57" s="97" t="s">
        <v>5309</v>
      </c>
      <c r="V57" s="97" t="s">
        <v>5316</v>
      </c>
      <c r="W57" s="97" t="s">
        <v>5173</v>
      </c>
      <c r="X57" s="98" t="s">
        <v>5301</v>
      </c>
      <c r="Y57" s="98" t="s">
        <v>5317</v>
      </c>
      <c r="Z57" s="98" t="s">
        <v>5318</v>
      </c>
      <c r="AA57" s="98" t="s">
        <v>5319</v>
      </c>
      <c r="AB57" s="98" t="s">
        <v>5173</v>
      </c>
      <c r="AC57" s="99" t="s">
        <v>5591</v>
      </c>
      <c r="AD57" s="99" t="s">
        <v>5174</v>
      </c>
      <c r="AE57" s="100" t="s">
        <v>5178</v>
      </c>
      <c r="AF57" s="100" t="s">
        <v>5320</v>
      </c>
      <c r="AG57" s="100" t="s">
        <v>5175</v>
      </c>
      <c r="AH57" s="101" t="s">
        <v>5321</v>
      </c>
      <c r="AI57" s="101" t="s">
        <v>5322</v>
      </c>
      <c r="AJ57" s="101" t="s">
        <v>5175</v>
      </c>
      <c r="AK57" s="83" t="s">
        <v>4863</v>
      </c>
      <c r="AL57" s="83" t="s">
        <v>5323</v>
      </c>
      <c r="AM57" s="83" t="s">
        <v>5324</v>
      </c>
      <c r="AN57" s="83" t="s">
        <v>5173</v>
      </c>
      <c r="AO57" s="96" t="s">
        <v>5325</v>
      </c>
      <c r="AP57" s="96" t="s">
        <v>5326</v>
      </c>
      <c r="AQ57" s="96" t="s">
        <v>5173</v>
      </c>
      <c r="AR57" s="133" t="s">
        <v>5264</v>
      </c>
      <c r="AS57" s="133" t="s">
        <v>5263</v>
      </c>
      <c r="AT57" s="133" t="s">
        <v>5262</v>
      </c>
      <c r="AW57" s="78"/>
    </row>
    <row r="58" spans="1:49" ht="14.4" customHeight="1">
      <c r="A58" s="127" t="s">
        <v>193</v>
      </c>
      <c r="B58" s="127"/>
      <c r="C58" s="127">
        <v>11</v>
      </c>
      <c r="D58" s="127">
        <v>11</v>
      </c>
      <c r="E58" s="85" t="s">
        <v>4915</v>
      </c>
      <c r="F58" s="79" t="s">
        <v>4757</v>
      </c>
      <c r="G58" s="79" t="s">
        <v>182</v>
      </c>
      <c r="H58" s="79" t="s">
        <v>5311</v>
      </c>
      <c r="I58" s="79" t="s">
        <v>4758</v>
      </c>
      <c r="J58" s="80" t="s">
        <v>5511</v>
      </c>
      <c r="K58" s="79"/>
      <c r="L58" s="788" t="s">
        <v>151</v>
      </c>
      <c r="M58" s="76" t="s">
        <v>261</v>
      </c>
      <c r="N58" s="76" t="s">
        <v>4865</v>
      </c>
      <c r="O58" s="76" t="s">
        <v>4866</v>
      </c>
      <c r="P58" s="96" t="s">
        <v>4867</v>
      </c>
      <c r="Q58" s="97" t="s">
        <v>5331</v>
      </c>
      <c r="R58" s="98" t="s">
        <v>4868</v>
      </c>
      <c r="S58" s="99" t="s">
        <v>4838</v>
      </c>
      <c r="T58" s="99" t="s">
        <v>4869</v>
      </c>
      <c r="U58" s="99" t="s">
        <v>4870</v>
      </c>
      <c r="V58" s="100" t="s">
        <v>4838</v>
      </c>
      <c r="W58" s="100" t="s">
        <v>4871</v>
      </c>
      <c r="X58" s="100" t="s">
        <v>4872</v>
      </c>
      <c r="Y58" s="101" t="s">
        <v>4873</v>
      </c>
      <c r="Z58" s="101" t="s">
        <v>4874</v>
      </c>
      <c r="AW58" s="78"/>
    </row>
    <row r="59" spans="1:49" ht="14.4" customHeight="1">
      <c r="A59" s="127" t="s">
        <v>194</v>
      </c>
      <c r="B59" s="127"/>
      <c r="C59" s="127">
        <v>12</v>
      </c>
      <c r="D59" s="127">
        <v>12</v>
      </c>
      <c r="E59" s="85" t="s">
        <v>4917</v>
      </c>
      <c r="F59" s="79" t="s">
        <v>4757</v>
      </c>
      <c r="G59" s="79" t="s">
        <v>182</v>
      </c>
      <c r="H59" s="79" t="s">
        <v>5311</v>
      </c>
      <c r="I59" s="79" t="s">
        <v>4758</v>
      </c>
      <c r="J59" s="80" t="s">
        <v>5511</v>
      </c>
      <c r="K59" s="79"/>
      <c r="L59" s="788"/>
      <c r="M59" s="76" t="s">
        <v>5327</v>
      </c>
      <c r="N59" s="76" t="s">
        <v>5328</v>
      </c>
      <c r="O59" s="76" t="s">
        <v>5329</v>
      </c>
      <c r="P59" s="96" t="s">
        <v>5330</v>
      </c>
      <c r="Q59" s="97" t="s">
        <v>5332</v>
      </c>
      <c r="R59" s="98" t="s">
        <v>5333</v>
      </c>
      <c r="S59" s="99" t="s">
        <v>4875</v>
      </c>
      <c r="T59" s="99" t="s">
        <v>5334</v>
      </c>
      <c r="U59" s="99" t="s">
        <v>5335</v>
      </c>
      <c r="V59" s="100" t="s">
        <v>4876</v>
      </c>
      <c r="W59" s="100" t="s">
        <v>5336</v>
      </c>
      <c r="X59" s="100" t="s">
        <v>5337</v>
      </c>
      <c r="Y59" s="101" t="s">
        <v>5338</v>
      </c>
      <c r="Z59" s="101" t="s">
        <v>5339</v>
      </c>
      <c r="AW59" s="78"/>
    </row>
    <row r="60" spans="1:49" ht="14.4" customHeight="1">
      <c r="A60" s="127" t="s">
        <v>195</v>
      </c>
      <c r="B60" s="127"/>
      <c r="C60" s="127">
        <v>13</v>
      </c>
      <c r="D60" s="127">
        <v>13</v>
      </c>
      <c r="E60" s="85" t="s">
        <v>4923</v>
      </c>
      <c r="F60" s="79" t="s">
        <v>4757</v>
      </c>
      <c r="G60" s="79" t="s">
        <v>182</v>
      </c>
      <c r="H60" s="79" t="s">
        <v>5311</v>
      </c>
      <c r="I60" s="79" t="s">
        <v>4758</v>
      </c>
      <c r="J60" s="80" t="s">
        <v>5511</v>
      </c>
      <c r="K60" s="79"/>
      <c r="L60" s="788" t="s">
        <v>139</v>
      </c>
      <c r="M60" s="96" t="s">
        <v>72</v>
      </c>
      <c r="N60" s="96" t="s">
        <v>133</v>
      </c>
      <c r="O60" s="97" t="s">
        <v>4838</v>
      </c>
      <c r="P60" s="97" t="s">
        <v>160</v>
      </c>
      <c r="Q60" s="97" t="s">
        <v>4878</v>
      </c>
      <c r="R60" s="97" t="s">
        <v>4879</v>
      </c>
      <c r="S60" s="98" t="s">
        <v>4838</v>
      </c>
      <c r="T60" s="98" t="s">
        <v>698</v>
      </c>
      <c r="U60" s="98" t="s">
        <v>4880</v>
      </c>
      <c r="V60" s="98" t="s">
        <v>4881</v>
      </c>
      <c r="W60" s="98" t="s">
        <v>4882</v>
      </c>
      <c r="X60" s="99" t="s">
        <v>4838</v>
      </c>
      <c r="Y60" s="99" t="s">
        <v>4883</v>
      </c>
      <c r="Z60" s="99" t="s">
        <v>4884</v>
      </c>
      <c r="AA60" s="99" t="s">
        <v>4885</v>
      </c>
      <c r="AB60" s="100" t="s">
        <v>4838</v>
      </c>
      <c r="AC60" s="100" t="s">
        <v>4886</v>
      </c>
      <c r="AD60" s="100" t="s">
        <v>4887</v>
      </c>
      <c r="AE60" s="100" t="s">
        <v>4888</v>
      </c>
      <c r="AF60" s="101" t="s">
        <v>4838</v>
      </c>
      <c r="AG60" s="101" t="s">
        <v>4889</v>
      </c>
      <c r="AH60" s="101" t="s">
        <v>4890</v>
      </c>
      <c r="AI60" s="101" t="s">
        <v>4891</v>
      </c>
      <c r="AJ60" s="76"/>
      <c r="AK60" s="76"/>
      <c r="AL60" s="76"/>
      <c r="AM60" s="76"/>
      <c r="AN60" s="76"/>
      <c r="AO60" s="76"/>
      <c r="AP60" s="76"/>
      <c r="AW60" s="78"/>
    </row>
    <row r="61" spans="1:49" ht="14.4" customHeight="1">
      <c r="A61" s="127" t="s">
        <v>196</v>
      </c>
      <c r="B61" s="127"/>
      <c r="C61" s="127">
        <v>14</v>
      </c>
      <c r="D61" s="127">
        <v>14</v>
      </c>
      <c r="E61" s="85" t="s">
        <v>4927</v>
      </c>
      <c r="F61" s="79" t="s">
        <v>4757</v>
      </c>
      <c r="G61" s="79" t="s">
        <v>182</v>
      </c>
      <c r="H61" s="218" t="s">
        <v>5517</v>
      </c>
      <c r="I61" s="79" t="s">
        <v>4758</v>
      </c>
      <c r="J61" s="80" t="s">
        <v>5511</v>
      </c>
      <c r="K61" s="79"/>
      <c r="L61" s="788"/>
      <c r="M61" s="96" t="s">
        <v>5340</v>
      </c>
      <c r="N61" s="96" t="s">
        <v>5341</v>
      </c>
      <c r="O61" s="97" t="s">
        <v>5392</v>
      </c>
      <c r="P61" s="97" t="s">
        <v>5292</v>
      </c>
      <c r="Q61" s="97" t="s">
        <v>5342</v>
      </c>
      <c r="R61" s="97" t="s">
        <v>5343</v>
      </c>
      <c r="S61" s="98" t="s">
        <v>4892</v>
      </c>
      <c r="T61" s="98" t="s">
        <v>5344</v>
      </c>
      <c r="U61" s="98" t="s">
        <v>5345</v>
      </c>
      <c r="V61" s="98" t="s">
        <v>5346</v>
      </c>
      <c r="W61" s="98" t="s">
        <v>5347</v>
      </c>
      <c r="X61" s="99" t="s">
        <v>4893</v>
      </c>
      <c r="Y61" s="99" t="s">
        <v>5348</v>
      </c>
      <c r="Z61" s="99" t="s">
        <v>5349</v>
      </c>
      <c r="AA61" s="99" t="s">
        <v>5350</v>
      </c>
      <c r="AB61" s="100" t="s">
        <v>4894</v>
      </c>
      <c r="AC61" s="100" t="s">
        <v>5351</v>
      </c>
      <c r="AD61" s="100" t="s">
        <v>5352</v>
      </c>
      <c r="AE61" s="100" t="s">
        <v>5353</v>
      </c>
      <c r="AF61" s="101" t="s">
        <v>4895</v>
      </c>
      <c r="AG61" s="101" t="s">
        <v>5354</v>
      </c>
      <c r="AH61" s="101" t="s">
        <v>5355</v>
      </c>
      <c r="AI61" s="101" t="s">
        <v>5356</v>
      </c>
      <c r="AJ61" s="76"/>
      <c r="AK61" s="76"/>
      <c r="AL61" s="76"/>
      <c r="AM61" s="76"/>
      <c r="AN61" s="76"/>
      <c r="AO61" s="76"/>
      <c r="AP61" s="76"/>
      <c r="AW61" s="78"/>
    </row>
    <row r="62" spans="1:49" ht="14.4" customHeight="1">
      <c r="A62" s="146" t="s">
        <v>4790</v>
      </c>
      <c r="B62" s="146">
        <v>10</v>
      </c>
      <c r="C62" s="146">
        <v>1</v>
      </c>
      <c r="D62" s="146">
        <f>IF(AG2&lt;3,4,8)</f>
        <v>4</v>
      </c>
      <c r="E62" s="85" t="s">
        <v>4931</v>
      </c>
      <c r="F62" s="79" t="s">
        <v>4757</v>
      </c>
      <c r="G62" s="79" t="s">
        <v>4905</v>
      </c>
      <c r="H62" s="219" t="s">
        <v>5520</v>
      </c>
      <c r="I62" s="79" t="s">
        <v>4758</v>
      </c>
      <c r="J62" s="80" t="s">
        <v>5511</v>
      </c>
      <c r="K62" s="79"/>
      <c r="L62" s="788" t="s">
        <v>163</v>
      </c>
      <c r="M62" s="76" t="s">
        <v>4896</v>
      </c>
      <c r="N62" s="76" t="s">
        <v>4897</v>
      </c>
      <c r="O62" s="76" t="s">
        <v>5366</v>
      </c>
      <c r="P62" s="97" t="s">
        <v>160</v>
      </c>
      <c r="Q62" s="97" t="s">
        <v>4898</v>
      </c>
      <c r="R62" s="98" t="s">
        <v>160</v>
      </c>
      <c r="S62" s="98" t="s">
        <v>4899</v>
      </c>
      <c r="T62" s="99" t="s">
        <v>4897</v>
      </c>
      <c r="U62" s="99" t="s">
        <v>4900</v>
      </c>
      <c r="V62" s="100" t="s">
        <v>4897</v>
      </c>
      <c r="W62" s="100" t="s">
        <v>4901</v>
      </c>
      <c r="X62" s="100" t="s">
        <v>4902</v>
      </c>
      <c r="Y62" s="101" t="s">
        <v>4897</v>
      </c>
      <c r="Z62" s="101" t="s">
        <v>4903</v>
      </c>
      <c r="AW62" s="78"/>
    </row>
    <row r="63" spans="1:49" ht="14.4" customHeight="1">
      <c r="A63" s="146" t="s">
        <v>4915</v>
      </c>
      <c r="B63" s="146">
        <v>11</v>
      </c>
      <c r="C63" s="146">
        <v>1</v>
      </c>
      <c r="D63" s="146">
        <v>4</v>
      </c>
      <c r="E63" s="85" t="s">
        <v>4932</v>
      </c>
      <c r="F63" s="79" t="s">
        <v>4757</v>
      </c>
      <c r="G63" s="79" t="s">
        <v>182</v>
      </c>
      <c r="H63" s="218" t="s">
        <v>5517</v>
      </c>
      <c r="I63" s="79" t="s">
        <v>4758</v>
      </c>
      <c r="J63" s="80" t="s">
        <v>5511</v>
      </c>
      <c r="K63" s="79"/>
      <c r="L63" s="788"/>
      <c r="M63" s="76" t="s">
        <v>5360</v>
      </c>
      <c r="N63" s="76" t="s">
        <v>5361</v>
      </c>
      <c r="O63" s="76" t="s">
        <v>5367</v>
      </c>
      <c r="P63" s="97" t="s">
        <v>5358</v>
      </c>
      <c r="Q63" s="97" t="s">
        <v>5357</v>
      </c>
      <c r="R63" s="98" t="s">
        <v>5292</v>
      </c>
      <c r="S63" s="98" t="s">
        <v>5359</v>
      </c>
      <c r="T63" s="99" t="s">
        <v>5362</v>
      </c>
      <c r="U63" s="99" t="s">
        <v>5363</v>
      </c>
      <c r="V63" s="100" t="s">
        <v>5365</v>
      </c>
      <c r="W63" s="100" t="s">
        <v>5368</v>
      </c>
      <c r="X63" s="100" t="s">
        <v>5369</v>
      </c>
      <c r="Y63" s="101" t="s">
        <v>5364</v>
      </c>
      <c r="Z63" s="101" t="s">
        <v>5370</v>
      </c>
      <c r="AW63" s="78"/>
    </row>
    <row r="64" spans="1:49" ht="14.4" customHeight="1">
      <c r="A64" s="146" t="s">
        <v>4917</v>
      </c>
      <c r="B64" s="146">
        <v>12</v>
      </c>
      <c r="C64" s="146">
        <v>1</v>
      </c>
      <c r="D64" s="146">
        <v>3</v>
      </c>
      <c r="E64" s="85" t="s">
        <v>4942</v>
      </c>
      <c r="F64" s="79" t="s">
        <v>4757</v>
      </c>
      <c r="G64" s="79" t="s">
        <v>241</v>
      </c>
      <c r="H64" s="79" t="s">
        <v>5311</v>
      </c>
      <c r="I64" s="79" t="s">
        <v>4758</v>
      </c>
      <c r="J64" s="216" t="s">
        <v>5512</v>
      </c>
      <c r="K64" s="79"/>
      <c r="L64" s="788" t="s">
        <v>165</v>
      </c>
      <c r="M64" s="76" t="s">
        <v>160</v>
      </c>
      <c r="N64" s="76" t="s">
        <v>4906</v>
      </c>
      <c r="O64" s="96" t="s">
        <v>4907</v>
      </c>
      <c r="P64" s="96" t="s">
        <v>4908</v>
      </c>
      <c r="Q64" s="97" t="s">
        <v>4909</v>
      </c>
      <c r="R64" s="97" t="s">
        <v>4910</v>
      </c>
      <c r="S64" s="98" t="s">
        <v>4835</v>
      </c>
      <c r="T64" s="98" t="s">
        <v>4911</v>
      </c>
      <c r="U64" s="98" t="s">
        <v>4912</v>
      </c>
      <c r="V64" s="99" t="s">
        <v>4838</v>
      </c>
      <c r="W64" s="99" t="s">
        <v>4913</v>
      </c>
      <c r="X64" s="99" t="s">
        <v>4914</v>
      </c>
      <c r="AW64" s="78"/>
    </row>
    <row r="65" spans="1:49" ht="14.4" customHeight="1">
      <c r="A65" s="146" t="s">
        <v>4923</v>
      </c>
      <c r="B65" s="146">
        <v>13</v>
      </c>
      <c r="C65" s="146">
        <v>1</v>
      </c>
      <c r="D65" s="146">
        <v>3</v>
      </c>
      <c r="E65" s="85" t="s">
        <v>4775</v>
      </c>
      <c r="F65" s="79" t="str">
        <f>F64</f>
        <v>自选两项属性分别+2/+1或自选三项属性+1</v>
      </c>
      <c r="G65" s="79" t="s">
        <v>182</v>
      </c>
      <c r="H65" s="79" t="s">
        <v>5311</v>
      </c>
      <c r="I65" s="79" t="s">
        <v>4758</v>
      </c>
      <c r="J65" s="216" t="s">
        <v>5512</v>
      </c>
      <c r="K65" s="79"/>
      <c r="L65" s="788"/>
      <c r="M65" s="76" t="s">
        <v>5292</v>
      </c>
      <c r="N65" s="76" t="s">
        <v>5371</v>
      </c>
      <c r="O65" s="96" t="s">
        <v>5372</v>
      </c>
      <c r="P65" s="96" t="s">
        <v>5373</v>
      </c>
      <c r="Q65" s="97" t="s">
        <v>5374</v>
      </c>
      <c r="R65" s="97" t="s">
        <v>5375</v>
      </c>
      <c r="S65" s="98" t="s">
        <v>5300</v>
      </c>
      <c r="T65" s="98" t="s">
        <v>5376</v>
      </c>
      <c r="U65" s="98" t="s">
        <v>5377</v>
      </c>
      <c r="V65" s="99" t="s">
        <v>4916</v>
      </c>
      <c r="W65" s="99" t="s">
        <v>5378</v>
      </c>
      <c r="X65" s="99" t="s">
        <v>5379</v>
      </c>
      <c r="AW65" s="78"/>
    </row>
    <row r="66" spans="1:49" ht="14.4" customHeight="1">
      <c r="A66" s="146" t="s">
        <v>4927</v>
      </c>
      <c r="B66" s="146">
        <v>14</v>
      </c>
      <c r="C66" s="146">
        <v>1</v>
      </c>
      <c r="D66" s="146">
        <v>5</v>
      </c>
      <c r="E66" s="85" t="s">
        <v>4776</v>
      </c>
      <c r="F66" s="79" t="str">
        <f>F64</f>
        <v>自选两项属性分别+2/+1或自选三项属性+1</v>
      </c>
      <c r="G66" s="79" t="str">
        <f>G65</f>
        <v>中型</v>
      </c>
      <c r="H66" s="79" t="s">
        <v>5311</v>
      </c>
      <c r="I66" s="79" t="s">
        <v>4758</v>
      </c>
      <c r="J66" s="216" t="s">
        <v>5512</v>
      </c>
      <c r="K66" s="79"/>
      <c r="L66" s="788" t="s">
        <v>174</v>
      </c>
      <c r="M66" s="76" t="s">
        <v>160</v>
      </c>
      <c r="N66" s="76" t="s">
        <v>4845</v>
      </c>
      <c r="O66" s="84" t="str">
        <f>IF(AND(COUNTIF(AN18:AN21,"&gt;=1"),COUNTIF(AM2:AM15,"多才多艺")=0),"","多才多艺")</f>
        <v>多才多艺</v>
      </c>
      <c r="P66" s="103" t="str">
        <f>IF(OR(AN18&lt;1,COUNTIF(AM2:AM15,"木精灵武器训练")),"木精灵武器训练","")</f>
        <v>木精灵武器训练</v>
      </c>
      <c r="Q66" s="102" t="str">
        <f>IF(OR(AN18&lt;1,COUNTIF(AM2:AM15,"轻捷步伐")),"轻捷步伐","")</f>
        <v>轻捷步伐</v>
      </c>
      <c r="R66" s="102" t="str">
        <f>IF(OR(AN18&lt;1,COUNTIF(AM2:AM15,"野性面具")),"野性面具","")</f>
        <v>野性面具</v>
      </c>
      <c r="S66" s="104" t="str">
        <f>IF(OR(AN19&lt;1,COUNTIF(AM2:AM15,"高等精灵武器训练")),"高等精灵武器训练","")</f>
        <v>高等精灵武器训练</v>
      </c>
      <c r="T66" s="104" t="str">
        <f>IF(OR(AN19&lt;1,COUNTIF(AM2:AM15,"戏法")),"戏法","")</f>
        <v>戏法</v>
      </c>
      <c r="U66" s="105" t="str">
        <f>IF(OR(AN20&lt;1,COUNTIF(AM2:AM15,"卓尔魔法")),"卓尔魔法","")</f>
        <v>卓尔魔法</v>
      </c>
      <c r="V66" s="106" t="str">
        <f>IF(OR(AN20&lt;1,COUNTIF(AM2:AM15,"游泳速度")),"游泳速度","")</f>
        <v>游泳速度</v>
      </c>
      <c r="W66" s="100" t="s">
        <v>4838</v>
      </c>
      <c r="X66" s="100" t="s">
        <v>4918</v>
      </c>
      <c r="Y66" s="100" t="s">
        <v>4919</v>
      </c>
      <c r="Z66" s="101" t="s">
        <v>4838</v>
      </c>
      <c r="AA66" s="101" t="s">
        <v>4920</v>
      </c>
      <c r="AB66" s="101" t="s">
        <v>4921</v>
      </c>
      <c r="AC66" s="101" t="s">
        <v>4922</v>
      </c>
      <c r="AW66" s="78"/>
    </row>
    <row r="67" spans="1:49" ht="14.4" customHeight="1">
      <c r="A67" s="146" t="s">
        <v>4931</v>
      </c>
      <c r="B67" s="146">
        <v>15</v>
      </c>
      <c r="C67" s="146">
        <v>1</v>
      </c>
      <c r="D67" s="146">
        <v>4</v>
      </c>
      <c r="E67" s="85" t="s">
        <v>4793</v>
      </c>
      <c r="F67" s="79" t="s">
        <v>4757</v>
      </c>
      <c r="G67" s="79" t="s">
        <v>241</v>
      </c>
      <c r="H67" s="79" t="s">
        <v>5311</v>
      </c>
      <c r="I67" s="79" t="s">
        <v>4758</v>
      </c>
      <c r="J67" s="80" t="s">
        <v>5511</v>
      </c>
      <c r="K67" s="79"/>
      <c r="L67" s="788"/>
      <c r="M67" s="76" t="s">
        <v>5292</v>
      </c>
      <c r="N67" s="76" t="s">
        <v>5380</v>
      </c>
      <c r="O67" s="84" t="s">
        <v>5381</v>
      </c>
      <c r="P67" s="103" t="s">
        <v>5383</v>
      </c>
      <c r="Q67" s="102" t="s">
        <v>5309</v>
      </c>
      <c r="R67" s="102" t="s">
        <v>5316</v>
      </c>
      <c r="S67" s="104" t="s">
        <v>5383</v>
      </c>
      <c r="T67" s="104" t="s">
        <v>5382</v>
      </c>
      <c r="U67" s="105" t="s">
        <v>5318</v>
      </c>
      <c r="V67" s="106" t="s">
        <v>4924</v>
      </c>
      <c r="W67" s="100" t="s">
        <v>4925</v>
      </c>
      <c r="X67" s="100" t="s">
        <v>5384</v>
      </c>
      <c r="Y67" s="100" t="s">
        <v>5385</v>
      </c>
      <c r="Z67" s="101" t="s">
        <v>4926</v>
      </c>
      <c r="AA67" s="101" t="s">
        <v>5386</v>
      </c>
      <c r="AB67" s="101" t="s">
        <v>5387</v>
      </c>
      <c r="AC67" s="101" t="s">
        <v>5388</v>
      </c>
      <c r="AW67" s="78"/>
    </row>
    <row r="68" spans="1:49" ht="14.4" customHeight="1">
      <c r="A68" s="146" t="s">
        <v>4932</v>
      </c>
      <c r="B68" s="146">
        <v>16</v>
      </c>
      <c r="C68" s="146">
        <v>1</v>
      </c>
      <c r="D68" s="146">
        <v>5</v>
      </c>
      <c r="E68" s="85" t="s">
        <v>4952</v>
      </c>
      <c r="F68" s="79" t="s">
        <v>4757</v>
      </c>
      <c r="G68" s="79" t="s">
        <v>182</v>
      </c>
      <c r="H68" s="79" t="s">
        <v>5311</v>
      </c>
      <c r="I68" s="79" t="s">
        <v>4758</v>
      </c>
      <c r="J68" s="80" t="s">
        <v>5511</v>
      </c>
      <c r="K68" s="79"/>
      <c r="L68" s="788" t="s">
        <v>179</v>
      </c>
      <c r="M68" s="76" t="s">
        <v>160</v>
      </c>
      <c r="N68" s="76" t="s">
        <v>4928</v>
      </c>
      <c r="O68" s="76" t="s">
        <v>4929</v>
      </c>
      <c r="P68" s="76" t="s">
        <v>4930</v>
      </c>
      <c r="Q68" s="96" t="s">
        <v>4838</v>
      </c>
      <c r="R68" s="96" t="s">
        <v>160</v>
      </c>
      <c r="S68" s="96" t="s">
        <v>4878</v>
      </c>
      <c r="T68" s="96" t="s">
        <v>4879</v>
      </c>
      <c r="AW68" s="78"/>
    </row>
    <row r="69" spans="1:49" ht="14.4" customHeight="1">
      <c r="A69" s="146" t="s">
        <v>4942</v>
      </c>
      <c r="B69" s="146">
        <v>17</v>
      </c>
      <c r="C69" s="146">
        <v>1</v>
      </c>
      <c r="D69" s="146">
        <v>4</v>
      </c>
      <c r="E69" s="85" t="s">
        <v>4953</v>
      </c>
      <c r="F69" s="79" t="s">
        <v>4757</v>
      </c>
      <c r="G69" s="79" t="s">
        <v>4905</v>
      </c>
      <c r="H69" s="79" t="s">
        <v>5311</v>
      </c>
      <c r="I69" s="79" t="s">
        <v>4758</v>
      </c>
      <c r="J69" s="80" t="s">
        <v>5511</v>
      </c>
      <c r="K69" s="79"/>
      <c r="L69" s="788"/>
      <c r="M69" s="76" t="s">
        <v>5292</v>
      </c>
      <c r="N69" s="76" t="s">
        <v>5389</v>
      </c>
      <c r="O69" s="76" t="s">
        <v>5390</v>
      </c>
      <c r="P69" s="76" t="s">
        <v>5391</v>
      </c>
      <c r="Q69" s="96" t="s">
        <v>5392</v>
      </c>
      <c r="R69" s="96" t="s">
        <v>5358</v>
      </c>
      <c r="S69" s="96" t="s">
        <v>5342</v>
      </c>
      <c r="T69" s="96" t="s">
        <v>5343</v>
      </c>
      <c r="AD69" s="76"/>
      <c r="AE69" s="76"/>
      <c r="AW69" s="78"/>
    </row>
    <row r="70" spans="1:49" ht="14.4" customHeight="1">
      <c r="A70" s="146" t="s">
        <v>4775</v>
      </c>
      <c r="B70" s="146">
        <v>18</v>
      </c>
      <c r="C70" s="146">
        <v>1</v>
      </c>
      <c r="D70" s="146">
        <v>6</v>
      </c>
      <c r="E70" s="86" t="s">
        <v>4787</v>
      </c>
      <c r="F70" s="79" t="s">
        <v>4757</v>
      </c>
      <c r="G70" s="79" t="s">
        <v>182</v>
      </c>
      <c r="H70" s="79" t="s">
        <v>5311</v>
      </c>
      <c r="I70" s="79" t="s">
        <v>4758</v>
      </c>
      <c r="J70" s="80" t="s">
        <v>5511</v>
      </c>
      <c r="K70" s="79"/>
      <c r="L70" s="788" t="s">
        <v>187</v>
      </c>
      <c r="M70" s="76" t="s">
        <v>160</v>
      </c>
      <c r="N70" s="76" t="s">
        <v>4933</v>
      </c>
      <c r="O70" s="84" t="str">
        <f>IF(OR(AN22&lt;1,COUNTIF(AM2:AM15,"地狱遗赠")),"地狱遗赠","")</f>
        <v>地狱遗赠</v>
      </c>
      <c r="P70" s="103" t="str">
        <f>IF(OR(AN22&lt;1,COUNTIF(AM2:AM15,"魔鬼之舌")),"魔鬼之舌","")</f>
        <v>魔鬼之舌</v>
      </c>
      <c r="Q70" s="103" t="str">
        <f>IF(OR(AN22&lt;1,COUNTIF(AM2:AM15,"地狱之火")),"地狱之火","")</f>
        <v>地狱之火</v>
      </c>
      <c r="R70" s="103" t="str">
        <f>IF(OR(AN22&lt;1,COUNTIF(AM2:AM15,"飞翼")),"飞翼","")</f>
        <v>飞翼</v>
      </c>
      <c r="S70" s="97" t="s">
        <v>4934</v>
      </c>
      <c r="T70" s="98" t="s">
        <v>4935</v>
      </c>
      <c r="U70" s="99" t="s">
        <v>4936</v>
      </c>
      <c r="V70" s="100" t="s">
        <v>4937</v>
      </c>
      <c r="W70" s="101" t="s">
        <v>4938</v>
      </c>
      <c r="X70" s="83" t="s">
        <v>4939</v>
      </c>
      <c r="Y70" s="96" t="s">
        <v>4940</v>
      </c>
      <c r="Z70" s="97" t="s">
        <v>4941</v>
      </c>
      <c r="AW70" s="78"/>
    </row>
    <row r="71" spans="1:49" ht="14.4" customHeight="1">
      <c r="A71" s="146" t="s">
        <v>4776</v>
      </c>
      <c r="B71" s="146">
        <v>19</v>
      </c>
      <c r="C71" s="146">
        <v>1</v>
      </c>
      <c r="D71" s="146">
        <v>4</v>
      </c>
      <c r="E71" s="86" t="s">
        <v>4788</v>
      </c>
      <c r="F71" s="79" t="s">
        <v>4757</v>
      </c>
      <c r="G71" s="79" t="str">
        <f>G70</f>
        <v>中型</v>
      </c>
      <c r="H71" s="79" t="s">
        <v>5311</v>
      </c>
      <c r="I71" s="79" t="s">
        <v>4758</v>
      </c>
      <c r="J71" s="80" t="s">
        <v>5511</v>
      </c>
      <c r="K71" s="79"/>
      <c r="L71" s="788"/>
      <c r="M71" s="76" t="s">
        <v>5292</v>
      </c>
      <c r="N71" s="76" t="s">
        <v>5393</v>
      </c>
      <c r="O71" s="84" t="s">
        <v>5394</v>
      </c>
      <c r="P71" s="103" t="s">
        <v>5395</v>
      </c>
      <c r="Q71" s="103" t="s">
        <v>5396</v>
      </c>
      <c r="R71" s="103" t="s">
        <v>5397</v>
      </c>
      <c r="S71" s="97" t="s">
        <v>5398</v>
      </c>
      <c r="T71" s="98" t="s">
        <v>5399</v>
      </c>
      <c r="U71" s="99" t="s">
        <v>5400</v>
      </c>
      <c r="V71" s="100" t="s">
        <v>5401</v>
      </c>
      <c r="W71" s="101" t="s">
        <v>5402</v>
      </c>
      <c r="X71" s="83" t="s">
        <v>5403</v>
      </c>
      <c r="Y71" s="96" t="s">
        <v>5404</v>
      </c>
      <c r="Z71" s="97" t="s">
        <v>5405</v>
      </c>
      <c r="AD71" s="76"/>
      <c r="AE71" s="76"/>
      <c r="AW71" s="78"/>
    </row>
    <row r="72" spans="1:49" ht="14.4" customHeight="1">
      <c r="A72" s="146" t="s">
        <v>4793</v>
      </c>
      <c r="B72" s="146">
        <v>20</v>
      </c>
      <c r="C72" s="146">
        <v>1</v>
      </c>
      <c r="D72" s="146">
        <v>5</v>
      </c>
      <c r="E72" s="87" t="s">
        <v>4962</v>
      </c>
      <c r="F72" s="79" t="s">
        <v>4757</v>
      </c>
      <c r="G72" s="79" t="s">
        <v>182</v>
      </c>
      <c r="H72" s="79" t="s">
        <v>5314</v>
      </c>
      <c r="I72" s="79" t="s">
        <v>4758</v>
      </c>
      <c r="J72" s="217" t="s">
        <v>5513</v>
      </c>
      <c r="K72" s="79"/>
      <c r="L72" s="801" t="s">
        <v>4790</v>
      </c>
      <c r="M72" s="76" t="s">
        <v>160</v>
      </c>
      <c r="N72" s="76" t="s">
        <v>4943</v>
      </c>
      <c r="O72" s="76" t="s">
        <v>4944</v>
      </c>
      <c r="P72" s="76" t="s">
        <v>4945</v>
      </c>
      <c r="Q72" s="171" t="s">
        <v>5409</v>
      </c>
      <c r="R72" s="84" t="str">
        <f>IF(OR(AN23&lt;1,COUNTIF(AM2:AM15,"死灵环绕")),"死灵环绕","")</f>
        <v>死灵环绕</v>
      </c>
      <c r="S72" s="84" t="str">
        <f>IF(OR(AN23&lt;1,COUNTIF(AM2:AM15,"光辉焚化")),"光辉焚化","")</f>
        <v>光辉焚化</v>
      </c>
      <c r="T72" s="84" t="str">
        <f>IF(OR(AN23&lt;1,COUNTIF(AM2:AM15,"光辉灵魂")),"光辉灵魂","")</f>
        <v>光辉灵魂</v>
      </c>
      <c r="AW72" s="78"/>
    </row>
    <row r="73" spans="1:49" ht="14.4" customHeight="1">
      <c r="A73" s="146" t="s">
        <v>4952</v>
      </c>
      <c r="B73" s="146">
        <v>21</v>
      </c>
      <c r="C73" s="146">
        <v>1</v>
      </c>
      <c r="D73" s="146">
        <v>4</v>
      </c>
      <c r="E73" s="87" t="s">
        <v>4963</v>
      </c>
      <c r="F73" s="79" t="s">
        <v>4757</v>
      </c>
      <c r="G73" s="79" t="s">
        <v>182</v>
      </c>
      <c r="H73" s="79" t="s">
        <v>5311</v>
      </c>
      <c r="I73" s="79" t="s">
        <v>4758</v>
      </c>
      <c r="J73" s="80" t="s">
        <v>5511</v>
      </c>
      <c r="K73" s="79"/>
      <c r="L73" s="801"/>
      <c r="M73" s="76" t="s">
        <v>5292</v>
      </c>
      <c r="N73" s="76" t="s">
        <v>5406</v>
      </c>
      <c r="O73" s="76" t="s">
        <v>5407</v>
      </c>
      <c r="P73" s="76" t="s">
        <v>5408</v>
      </c>
      <c r="Q73" s="171" t="s">
        <v>5410</v>
      </c>
      <c r="R73" s="84" t="s">
        <v>5411</v>
      </c>
      <c r="S73" s="84" t="s">
        <v>5412</v>
      </c>
      <c r="T73" s="84" t="s">
        <v>5413</v>
      </c>
      <c r="AD73" s="76"/>
      <c r="AE73" s="76"/>
      <c r="AW73" s="78"/>
    </row>
    <row r="74" spans="1:49" ht="14.4" customHeight="1">
      <c r="A74" s="146" t="s">
        <v>4953</v>
      </c>
      <c r="B74" s="146">
        <v>22</v>
      </c>
      <c r="C74" s="146">
        <v>1</v>
      </c>
      <c r="D74" s="146">
        <v>4</v>
      </c>
      <c r="E74" s="87" t="s">
        <v>4968</v>
      </c>
      <c r="F74" s="79" t="s">
        <v>4752</v>
      </c>
      <c r="G74" s="79" t="s">
        <v>182</v>
      </c>
      <c r="H74" s="79" t="s">
        <v>5311</v>
      </c>
      <c r="I74" s="79" t="s">
        <v>4969</v>
      </c>
      <c r="J74" s="80" t="s">
        <v>5511</v>
      </c>
      <c r="K74" s="79"/>
      <c r="L74" s="801" t="s">
        <v>4915</v>
      </c>
      <c r="M74" s="76" t="s">
        <v>4946</v>
      </c>
      <c r="N74" s="76" t="s">
        <v>4947</v>
      </c>
      <c r="O74" s="76" t="s">
        <v>5416</v>
      </c>
      <c r="P74" s="76" t="s">
        <v>4948</v>
      </c>
      <c r="AW74" s="78"/>
    </row>
    <row r="75" spans="1:49" ht="14.4" customHeight="1">
      <c r="A75" s="147" t="s">
        <v>4967</v>
      </c>
      <c r="B75" s="147">
        <v>23</v>
      </c>
      <c r="C75" s="147">
        <v>1</v>
      </c>
      <c r="D75" s="147">
        <v>1</v>
      </c>
      <c r="E75" s="87" t="s">
        <v>4970</v>
      </c>
      <c r="F75" s="79" t="s">
        <v>4971</v>
      </c>
      <c r="G75" s="79" t="s">
        <v>182</v>
      </c>
      <c r="H75" s="79" t="s">
        <v>5311</v>
      </c>
      <c r="I75" s="79" t="s">
        <v>4972</v>
      </c>
      <c r="J75" s="80" t="s">
        <v>5511</v>
      </c>
      <c r="K75" s="79"/>
      <c r="L75" s="801"/>
      <c r="M75" s="76" t="s">
        <v>5414</v>
      </c>
      <c r="N75" s="76" t="s">
        <v>5415</v>
      </c>
      <c r="O75" s="76" t="s">
        <v>5417</v>
      </c>
      <c r="P75" s="76" t="s">
        <v>5418</v>
      </c>
      <c r="AD75" s="76"/>
      <c r="AE75" s="76"/>
      <c r="AW75" s="78"/>
    </row>
    <row r="76" spans="1:49" ht="14.4" customHeight="1">
      <c r="A76" s="127" t="s">
        <v>4787</v>
      </c>
      <c r="B76" s="127"/>
      <c r="C76" s="127">
        <v>2</v>
      </c>
      <c r="D76" s="127">
        <v>3</v>
      </c>
      <c r="E76" s="87" t="s">
        <v>4977</v>
      </c>
      <c r="F76" s="79" t="s">
        <v>4978</v>
      </c>
      <c r="G76" s="79" t="s">
        <v>182</v>
      </c>
      <c r="H76" s="79" t="s">
        <v>5311</v>
      </c>
      <c r="I76" s="79" t="s">
        <v>4979</v>
      </c>
      <c r="J76" s="80" t="s">
        <v>5511</v>
      </c>
      <c r="K76" s="79"/>
      <c r="L76" s="801" t="s">
        <v>4917</v>
      </c>
      <c r="M76" s="76" t="s">
        <v>4949</v>
      </c>
      <c r="N76" s="76" t="s">
        <v>4951</v>
      </c>
      <c r="O76" s="76" t="s">
        <v>4950</v>
      </c>
      <c r="AW76" s="78"/>
    </row>
    <row r="77" spans="1:49" ht="14.4" customHeight="1">
      <c r="A77" s="127" t="s">
        <v>4788</v>
      </c>
      <c r="B77" s="127"/>
      <c r="C77" s="127">
        <v>4</v>
      </c>
      <c r="D77" s="127">
        <v>5</v>
      </c>
      <c r="E77" s="90" t="s">
        <v>4980</v>
      </c>
      <c r="F77" s="79" t="s">
        <v>4757</v>
      </c>
      <c r="G77" s="79" t="s">
        <v>182</v>
      </c>
      <c r="H77" s="79" t="s">
        <v>5311</v>
      </c>
      <c r="I77" s="79" t="s">
        <v>4758</v>
      </c>
      <c r="J77" s="217" t="s">
        <v>5513</v>
      </c>
      <c r="K77" s="79"/>
      <c r="L77" s="801"/>
      <c r="M77" s="76" t="s">
        <v>5449</v>
      </c>
      <c r="N77" s="76" t="s">
        <v>5450</v>
      </c>
      <c r="O77" s="76" t="s">
        <v>5451</v>
      </c>
      <c r="AD77" s="76"/>
      <c r="AE77" s="76"/>
      <c r="AW77" s="78"/>
    </row>
    <row r="78" spans="1:49" ht="14.4" customHeight="1">
      <c r="A78" s="148" t="s">
        <v>4962</v>
      </c>
      <c r="B78" s="148">
        <v>24</v>
      </c>
      <c r="C78" s="148">
        <v>1</v>
      </c>
      <c r="D78" s="148">
        <v>4</v>
      </c>
      <c r="E78" s="90" t="s">
        <v>4988</v>
      </c>
      <c r="F78" s="79" t="s">
        <v>4989</v>
      </c>
      <c r="G78" s="79" t="s">
        <v>182</v>
      </c>
      <c r="H78" s="79" t="s">
        <v>5311</v>
      </c>
      <c r="I78" s="79" t="s">
        <v>4990</v>
      </c>
      <c r="J78" s="80" t="s">
        <v>5511</v>
      </c>
      <c r="K78" s="79"/>
      <c r="L78" s="801" t="s">
        <v>4923</v>
      </c>
      <c r="M78" s="76" t="s">
        <v>4954</v>
      </c>
      <c r="N78" s="76" t="s">
        <v>4955</v>
      </c>
      <c r="O78" s="76" t="s">
        <v>4956</v>
      </c>
      <c r="AW78" s="78"/>
    </row>
    <row r="79" spans="1:49" ht="14.4" customHeight="1">
      <c r="A79" s="148" t="s">
        <v>4963</v>
      </c>
      <c r="B79" s="148">
        <v>25</v>
      </c>
      <c r="C79" s="148">
        <v>1</v>
      </c>
      <c r="D79" s="148">
        <v>4</v>
      </c>
      <c r="E79" s="90" t="s">
        <v>4796</v>
      </c>
      <c r="F79" s="79" t="s">
        <v>4757</v>
      </c>
      <c r="G79" s="79" t="s">
        <v>182</v>
      </c>
      <c r="H79" s="79" t="s">
        <v>5311</v>
      </c>
      <c r="I79" s="79" t="s">
        <v>4758</v>
      </c>
      <c r="J79" s="80" t="s">
        <v>5511</v>
      </c>
      <c r="K79" s="79"/>
      <c r="L79" s="801"/>
      <c r="M79" s="76" t="s">
        <v>5456</v>
      </c>
      <c r="N79" s="76" t="s">
        <v>5457</v>
      </c>
      <c r="O79" s="76" t="s">
        <v>5458</v>
      </c>
      <c r="AD79" s="76"/>
      <c r="AE79" s="76"/>
      <c r="AW79" s="78"/>
    </row>
    <row r="80" spans="1:49" ht="14.4" customHeight="1">
      <c r="A80" s="148" t="s">
        <v>4968</v>
      </c>
      <c r="B80" s="148">
        <v>26</v>
      </c>
      <c r="C80" s="148">
        <v>1</v>
      </c>
      <c r="D80" s="148">
        <v>5</v>
      </c>
      <c r="E80" s="90" t="s">
        <v>4992</v>
      </c>
      <c r="F80" s="79" t="s">
        <v>4971</v>
      </c>
      <c r="G80" s="79" t="str">
        <f>G79</f>
        <v>中型</v>
      </c>
      <c r="H80" s="79" t="s">
        <v>5311</v>
      </c>
      <c r="I80" s="79" t="s">
        <v>4758</v>
      </c>
      <c r="J80" s="80" t="s">
        <v>5511</v>
      </c>
      <c r="K80" s="79"/>
      <c r="L80" s="801" t="s">
        <v>4927</v>
      </c>
      <c r="M80" s="76" t="s">
        <v>4957</v>
      </c>
      <c r="N80" s="76" t="s">
        <v>4958</v>
      </c>
      <c r="O80" s="76" t="s">
        <v>4961</v>
      </c>
      <c r="P80" s="76" t="s">
        <v>4959</v>
      </c>
      <c r="Q80" s="76" t="s">
        <v>4960</v>
      </c>
      <c r="V80" s="76"/>
      <c r="AW80" s="78"/>
    </row>
    <row r="81" spans="1:49" ht="14.4" customHeight="1">
      <c r="A81" s="148" t="s">
        <v>4970</v>
      </c>
      <c r="B81" s="148">
        <v>27</v>
      </c>
      <c r="C81" s="148">
        <v>1</v>
      </c>
      <c r="D81" s="148">
        <f>IF(AG2&lt;5,5,8)</f>
        <v>5</v>
      </c>
      <c r="E81" s="91" t="s">
        <v>4993</v>
      </c>
      <c r="F81" s="79" t="s">
        <v>4757</v>
      </c>
      <c r="G81" s="79" t="s">
        <v>182</v>
      </c>
      <c r="H81" s="79" t="s">
        <v>5311</v>
      </c>
      <c r="I81" s="79" t="s">
        <v>4758</v>
      </c>
      <c r="J81" s="80" t="s">
        <v>5511</v>
      </c>
      <c r="K81" s="79"/>
      <c r="L81" s="801"/>
      <c r="M81" s="76" t="s">
        <v>5463</v>
      </c>
      <c r="N81" s="76" t="s">
        <v>5464</v>
      </c>
      <c r="O81" s="76" t="s">
        <v>5465</v>
      </c>
      <c r="P81" s="76" t="s">
        <v>5466</v>
      </c>
      <c r="Q81" s="76" t="s">
        <v>5467</v>
      </c>
      <c r="V81" s="76"/>
      <c r="AD81" s="76"/>
      <c r="AE81" s="76"/>
      <c r="AW81" s="78"/>
    </row>
    <row r="82" spans="1:49" ht="14.4" customHeight="1">
      <c r="A82" s="148" t="s">
        <v>4977</v>
      </c>
      <c r="B82" s="148">
        <v>28</v>
      </c>
      <c r="C82" s="148">
        <v>1</v>
      </c>
      <c r="D82" s="148">
        <v>3</v>
      </c>
      <c r="E82" s="91" t="s">
        <v>4804</v>
      </c>
      <c r="F82" s="79" t="s">
        <v>4757</v>
      </c>
      <c r="G82" s="79" t="s">
        <v>4905</v>
      </c>
      <c r="H82" s="79" t="s">
        <v>5315</v>
      </c>
      <c r="I82" s="79" t="s">
        <v>4758</v>
      </c>
      <c r="J82" s="80" t="s">
        <v>5511</v>
      </c>
      <c r="K82" s="79"/>
      <c r="L82" s="801" t="s">
        <v>4931</v>
      </c>
      <c r="M82" s="76" t="s">
        <v>160</v>
      </c>
      <c r="N82" s="76" t="s">
        <v>4964</v>
      </c>
      <c r="O82" s="76" t="s">
        <v>4965</v>
      </c>
      <c r="P82" s="76" t="s">
        <v>4966</v>
      </c>
      <c r="AW82" s="78"/>
    </row>
    <row r="83" spans="1:49" ht="14.4" customHeight="1">
      <c r="A83" s="149" t="s">
        <v>4980</v>
      </c>
      <c r="B83" s="149">
        <v>29</v>
      </c>
      <c r="C83" s="149">
        <v>1</v>
      </c>
      <c r="D83" s="149">
        <v>2</v>
      </c>
      <c r="E83" s="91" t="s">
        <v>4805</v>
      </c>
      <c r="F83" s="79" t="str">
        <f>F82</f>
        <v>自选两项属性分别+2/+1或自选三项属性+1</v>
      </c>
      <c r="G83" s="79" t="str">
        <f>G82</f>
        <v>中型或小型。在你选择种族时选择体型</v>
      </c>
      <c r="H83" s="79" t="s">
        <v>5311</v>
      </c>
      <c r="I83" s="79" t="s">
        <v>4758</v>
      </c>
      <c r="J83" s="80" t="s">
        <v>5511</v>
      </c>
      <c r="K83" s="79"/>
      <c r="L83" s="801"/>
      <c r="M83" s="76" t="s">
        <v>5292</v>
      </c>
      <c r="N83" s="76" t="s">
        <v>5480</v>
      </c>
      <c r="O83" s="76" t="s">
        <v>5481</v>
      </c>
      <c r="P83" s="76" t="s">
        <v>5482</v>
      </c>
      <c r="AD83" s="76"/>
      <c r="AE83" s="76"/>
      <c r="AW83" s="78"/>
    </row>
    <row r="84" spans="1:49" ht="14.4" customHeight="1">
      <c r="A84" s="149" t="s">
        <v>4988</v>
      </c>
      <c r="B84" s="149">
        <v>30</v>
      </c>
      <c r="C84" s="149">
        <v>1</v>
      </c>
      <c r="D84" s="149">
        <v>4</v>
      </c>
      <c r="E84" s="91" t="s">
        <v>4806</v>
      </c>
      <c r="F84" s="79" t="str">
        <f>F82</f>
        <v>自选两项属性分别+2/+1或自选三项属性+1</v>
      </c>
      <c r="G84" s="79" t="str">
        <f>G82</f>
        <v>中型或小型。在你选择种族时选择体型</v>
      </c>
      <c r="H84" s="79" t="s">
        <v>5311</v>
      </c>
      <c r="I84" s="79" t="s">
        <v>4758</v>
      </c>
      <c r="J84" s="80" t="s">
        <v>5511</v>
      </c>
      <c r="K84" s="79"/>
      <c r="L84" s="801" t="s">
        <v>4932</v>
      </c>
      <c r="M84" s="76" t="s">
        <v>160</v>
      </c>
      <c r="N84" s="76" t="s">
        <v>4973</v>
      </c>
      <c r="O84" s="76" t="s">
        <v>4974</v>
      </c>
      <c r="P84" s="76" t="s">
        <v>4975</v>
      </c>
      <c r="Q84" s="76" t="s">
        <v>4976</v>
      </c>
      <c r="AW84" s="78"/>
    </row>
    <row r="85" spans="1:49" ht="14.4" customHeight="1">
      <c r="A85" s="149" t="s">
        <v>4796</v>
      </c>
      <c r="B85" s="149">
        <v>31</v>
      </c>
      <c r="C85" s="149">
        <v>1</v>
      </c>
      <c r="D85" s="149">
        <v>7</v>
      </c>
      <c r="E85" s="91" t="s">
        <v>4807</v>
      </c>
      <c r="F85" s="79" t="str">
        <f>F82</f>
        <v>自选两项属性分别+2/+1或自选三项属性+1</v>
      </c>
      <c r="G85" s="79" t="str">
        <f>G82</f>
        <v>中型或小型。在你选择种族时选择体型</v>
      </c>
      <c r="H85" s="79" t="s">
        <v>5311</v>
      </c>
      <c r="I85" s="79" t="s">
        <v>4758</v>
      </c>
      <c r="J85" s="80" t="s">
        <v>5511</v>
      </c>
      <c r="K85" s="79"/>
      <c r="L85" s="801"/>
      <c r="M85" s="76" t="s">
        <v>5292</v>
      </c>
      <c r="N85" s="76" t="s">
        <v>5488</v>
      </c>
      <c r="O85" s="76" t="s">
        <v>5489</v>
      </c>
      <c r="P85" s="76" t="s">
        <v>5490</v>
      </c>
      <c r="Q85" s="76" t="s">
        <v>5491</v>
      </c>
      <c r="AD85" s="76"/>
      <c r="AE85" s="76"/>
      <c r="AF85" s="76"/>
      <c r="AG85" s="76"/>
      <c r="AW85" s="78"/>
    </row>
    <row r="86" spans="1:49" ht="14.4" customHeight="1">
      <c r="A86" s="149" t="s">
        <v>4992</v>
      </c>
      <c r="B86" s="149">
        <v>32</v>
      </c>
      <c r="C86" s="149">
        <v>1</v>
      </c>
      <c r="D86" s="149">
        <v>4</v>
      </c>
      <c r="E86" s="91" t="s">
        <v>5002</v>
      </c>
      <c r="F86" s="79" t="s">
        <v>4757</v>
      </c>
      <c r="G86" s="79" t="s">
        <v>182</v>
      </c>
      <c r="H86" s="79" t="s">
        <v>5311</v>
      </c>
      <c r="I86" s="79" t="s">
        <v>4758</v>
      </c>
      <c r="J86" s="80" t="s">
        <v>5511</v>
      </c>
      <c r="K86" s="79"/>
      <c r="L86" s="801" t="s">
        <v>4942</v>
      </c>
      <c r="M86" s="76" t="s">
        <v>160</v>
      </c>
      <c r="N86" s="81" t="s">
        <v>4845</v>
      </c>
      <c r="O86" s="76" t="s">
        <v>4981</v>
      </c>
      <c r="P86" s="76" t="s">
        <v>4982</v>
      </c>
      <c r="AW86" s="78"/>
    </row>
    <row r="87" spans="1:49" ht="14.4" customHeight="1">
      <c r="A87" s="150" t="s">
        <v>4993</v>
      </c>
      <c r="B87" s="150">
        <v>33</v>
      </c>
      <c r="C87" s="150">
        <v>1</v>
      </c>
      <c r="D87" s="150">
        <f>IF(AG2&lt;3,2,3)</f>
        <v>2</v>
      </c>
      <c r="E87" s="92" t="s">
        <v>5004</v>
      </c>
      <c r="F87" s="79" t="s">
        <v>5005</v>
      </c>
      <c r="G87" s="79" t="s">
        <v>5006</v>
      </c>
      <c r="H87" s="79" t="s">
        <v>5311</v>
      </c>
      <c r="I87" s="79" t="s">
        <v>5007</v>
      </c>
      <c r="J87" s="80" t="s">
        <v>5511</v>
      </c>
      <c r="K87" s="79"/>
      <c r="L87" s="801"/>
      <c r="M87" s="76" t="s">
        <v>5292</v>
      </c>
      <c r="N87" s="76" t="s">
        <v>5419</v>
      </c>
      <c r="O87" s="76" t="s">
        <v>5420</v>
      </c>
      <c r="P87" s="76" t="s">
        <v>5421</v>
      </c>
      <c r="AD87" s="76"/>
      <c r="AE87" s="76"/>
      <c r="AF87" s="76"/>
      <c r="AG87" s="76"/>
      <c r="AW87" s="78"/>
    </row>
    <row r="88" spans="1:49" ht="14.4" customHeight="1">
      <c r="A88" s="150" t="s">
        <v>5003</v>
      </c>
      <c r="B88" s="150">
        <v>34</v>
      </c>
      <c r="C88" s="150">
        <v>1</v>
      </c>
      <c r="D88" s="150">
        <v>1</v>
      </c>
      <c r="E88" s="93" t="s">
        <v>5012</v>
      </c>
      <c r="F88" s="79" t="s">
        <v>5013</v>
      </c>
      <c r="G88" s="79" t="s">
        <v>182</v>
      </c>
      <c r="H88" s="79" t="s">
        <v>5315</v>
      </c>
      <c r="I88" s="79" t="s">
        <v>5014</v>
      </c>
      <c r="J88" s="80" t="s">
        <v>5511</v>
      </c>
      <c r="K88" s="79"/>
      <c r="L88" s="801" t="s">
        <v>5422</v>
      </c>
      <c r="M88" s="76" t="s">
        <v>160</v>
      </c>
      <c r="N88" s="81" t="s">
        <v>4845</v>
      </c>
      <c r="O88" s="76" t="s">
        <v>4983</v>
      </c>
      <c r="P88" s="76" t="s">
        <v>5416</v>
      </c>
      <c r="Q88" s="76" t="s">
        <v>4984</v>
      </c>
      <c r="R88" s="76" t="s">
        <v>4985</v>
      </c>
      <c r="AW88" s="78"/>
    </row>
    <row r="89" spans="1:49" ht="14.4" customHeight="1">
      <c r="A89" s="132" t="s">
        <v>4804</v>
      </c>
      <c r="B89" s="132"/>
      <c r="C89" s="132">
        <v>2</v>
      </c>
      <c r="D89" s="132">
        <v>4</v>
      </c>
      <c r="E89" s="93" t="s">
        <v>5015</v>
      </c>
      <c r="F89" s="79" t="s">
        <v>4757</v>
      </c>
      <c r="G89" s="79" t="s">
        <v>182</v>
      </c>
      <c r="H89" s="79" t="s">
        <v>5315</v>
      </c>
      <c r="I89" s="79" t="s">
        <v>4758</v>
      </c>
      <c r="J89" s="217" t="s">
        <v>5513</v>
      </c>
      <c r="K89" s="79"/>
      <c r="L89" s="801"/>
      <c r="M89" s="76" t="s">
        <v>5292</v>
      </c>
      <c r="N89" s="76" t="s">
        <v>5419</v>
      </c>
      <c r="O89" s="76" t="s">
        <v>5424</v>
      </c>
      <c r="P89" s="76" t="s">
        <v>5417</v>
      </c>
      <c r="Q89" s="76" t="s">
        <v>5425</v>
      </c>
      <c r="R89" s="76" t="s">
        <v>5426</v>
      </c>
      <c r="AW89" s="78"/>
    </row>
    <row r="90" spans="1:49" ht="14.4" customHeight="1">
      <c r="A90" s="132" t="s">
        <v>4805</v>
      </c>
      <c r="B90" s="132"/>
      <c r="C90" s="132">
        <v>5</v>
      </c>
      <c r="D90" s="132">
        <v>6</v>
      </c>
      <c r="E90" s="151" t="s">
        <v>5020</v>
      </c>
      <c r="F90" s="79" t="s">
        <v>4757</v>
      </c>
      <c r="G90" s="79" t="s">
        <v>4905</v>
      </c>
      <c r="H90" s="79" t="s">
        <v>5311</v>
      </c>
      <c r="I90" s="79" t="s">
        <v>4758</v>
      </c>
      <c r="J90" s="80" t="s">
        <v>5511</v>
      </c>
      <c r="K90" s="79"/>
      <c r="L90" s="801" t="s">
        <v>5423</v>
      </c>
      <c r="M90" s="76" t="s">
        <v>160</v>
      </c>
      <c r="N90" s="81" t="s">
        <v>4845</v>
      </c>
      <c r="O90" s="76" t="s">
        <v>4986</v>
      </c>
      <c r="P90" s="76" t="s">
        <v>4987</v>
      </c>
      <c r="AW90" s="78"/>
    </row>
    <row r="91" spans="1:49" ht="14.4" customHeight="1">
      <c r="A91" s="132" t="s">
        <v>4806</v>
      </c>
      <c r="B91" s="132"/>
      <c r="C91" s="132">
        <v>7</v>
      </c>
      <c r="D91" s="132">
        <v>8</v>
      </c>
      <c r="E91" s="152" t="s">
        <v>5021</v>
      </c>
      <c r="F91" s="79" t="s">
        <v>4757</v>
      </c>
      <c r="G91" s="76" t="s">
        <v>241</v>
      </c>
      <c r="H91" s="79" t="s">
        <v>5311</v>
      </c>
      <c r="I91" s="79" t="s">
        <v>4758</v>
      </c>
      <c r="J91" s="217" t="s">
        <v>5513</v>
      </c>
      <c r="K91" s="79"/>
      <c r="L91" s="801"/>
      <c r="M91" s="76" t="s">
        <v>5292</v>
      </c>
      <c r="N91" s="76" t="s">
        <v>5419</v>
      </c>
      <c r="O91" s="76" t="s">
        <v>5427</v>
      </c>
      <c r="P91" s="76" t="s">
        <v>5428</v>
      </c>
      <c r="AW91" s="78"/>
    </row>
    <row r="92" spans="1:49" ht="14.4" customHeight="1">
      <c r="A92" s="132" t="s">
        <v>4807</v>
      </c>
      <c r="B92" s="132"/>
      <c r="C92" s="132">
        <v>9</v>
      </c>
      <c r="D92" s="132">
        <v>12</v>
      </c>
      <c r="E92" s="152" t="s">
        <v>5026</v>
      </c>
      <c r="F92" s="79" t="s">
        <v>4757</v>
      </c>
      <c r="G92" s="79" t="s">
        <v>4905</v>
      </c>
      <c r="H92" s="79" t="s">
        <v>5311</v>
      </c>
      <c r="I92" s="79" t="s">
        <v>4758</v>
      </c>
      <c r="J92" s="80" t="s">
        <v>5511</v>
      </c>
      <c r="K92" s="79"/>
      <c r="L92" s="801" t="s">
        <v>4793</v>
      </c>
      <c r="M92" s="76" t="s">
        <v>160</v>
      </c>
      <c r="N92" s="76" t="s">
        <v>4991</v>
      </c>
      <c r="O92" s="84" t="str">
        <f>IF(OR(AN24&lt;1,COUNTIF(AM2:AM15,"狡猾")),"狡猾","")</f>
        <v>狡猾</v>
      </c>
      <c r="P92" s="84" t="str">
        <f>IF(OR(AN24&lt;1,COUNTIF(AM2:AM15,"反抗")),"反抗","")</f>
        <v>反抗</v>
      </c>
      <c r="Q92" s="84" t="str">
        <f>IF(OR(AN24&lt;1,COUNTIF(AM2:AM15,"龙族术法")),"龙族术法","")</f>
        <v>龙族术法</v>
      </c>
      <c r="AW92" s="78"/>
    </row>
    <row r="93" spans="1:49" ht="14.4" customHeight="1">
      <c r="A93" s="150" t="s">
        <v>5002</v>
      </c>
      <c r="B93" s="150">
        <v>35</v>
      </c>
      <c r="C93" s="150">
        <v>1</v>
      </c>
      <c r="D93" s="150">
        <v>5</v>
      </c>
      <c r="E93" s="154" t="s">
        <v>5027</v>
      </c>
      <c r="F93" s="79" t="s">
        <v>4757</v>
      </c>
      <c r="G93" s="76" t="s">
        <v>182</v>
      </c>
      <c r="H93" s="79" t="s">
        <v>5311</v>
      </c>
      <c r="I93" s="79" t="s">
        <v>4758</v>
      </c>
      <c r="J93" s="80" t="s">
        <v>5511</v>
      </c>
      <c r="L93" s="801"/>
      <c r="M93" s="76" t="s">
        <v>5292</v>
      </c>
      <c r="N93" s="76" t="s">
        <v>5459</v>
      </c>
      <c r="O93" s="84" t="s">
        <v>5460</v>
      </c>
      <c r="P93" s="84" t="s">
        <v>5461</v>
      </c>
      <c r="Q93" s="84" t="s">
        <v>5462</v>
      </c>
      <c r="AD93" s="76"/>
      <c r="AE93" s="76"/>
      <c r="AF93" s="76"/>
      <c r="AG93" s="76"/>
      <c r="AW93" s="78"/>
    </row>
    <row r="94" spans="1:49" ht="14.4" customHeight="1">
      <c r="A94" s="153" t="s">
        <v>5004</v>
      </c>
      <c r="B94" s="153">
        <v>36</v>
      </c>
      <c r="C94" s="153">
        <v>1</v>
      </c>
      <c r="D94" s="153">
        <v>4</v>
      </c>
      <c r="E94" s="154" t="s">
        <v>5028</v>
      </c>
      <c r="F94" s="79" t="s">
        <v>4757</v>
      </c>
      <c r="G94" s="76" t="s">
        <v>241</v>
      </c>
      <c r="H94" s="79" t="s">
        <v>5311</v>
      </c>
      <c r="I94" s="79" t="s">
        <v>4758</v>
      </c>
      <c r="J94" s="217" t="s">
        <v>5514</v>
      </c>
      <c r="L94" s="801" t="s">
        <v>4952</v>
      </c>
      <c r="M94" s="76" t="s">
        <v>160</v>
      </c>
      <c r="N94" s="76" t="s">
        <v>4994</v>
      </c>
      <c r="O94" s="76" t="s">
        <v>5416</v>
      </c>
      <c r="P94" s="76" t="s">
        <v>4929</v>
      </c>
      <c r="AW94" s="78"/>
    </row>
    <row r="95" spans="1:49" ht="14.4" customHeight="1">
      <c r="A95" s="155" t="s">
        <v>5012</v>
      </c>
      <c r="B95" s="155">
        <v>37</v>
      </c>
      <c r="C95" s="155">
        <v>1</v>
      </c>
      <c r="D95" s="155">
        <v>4</v>
      </c>
      <c r="E95" s="154" t="s">
        <v>5496</v>
      </c>
      <c r="F95" s="79" t="s">
        <v>4757</v>
      </c>
      <c r="G95" s="76" t="s">
        <v>182</v>
      </c>
      <c r="H95" s="218" t="s">
        <v>5517</v>
      </c>
      <c r="I95" s="79" t="s">
        <v>4758</v>
      </c>
      <c r="J95" s="80" t="s">
        <v>5511</v>
      </c>
      <c r="L95" s="801"/>
      <c r="M95" s="76" t="s">
        <v>5292</v>
      </c>
      <c r="N95" s="76" t="s">
        <v>5472</v>
      </c>
      <c r="O95" s="76" t="s">
        <v>5417</v>
      </c>
      <c r="P95" s="76" t="s">
        <v>5473</v>
      </c>
      <c r="AD95" s="76"/>
      <c r="AE95" s="76"/>
      <c r="AF95" s="76"/>
      <c r="AG95" s="76"/>
      <c r="AW95" s="78"/>
    </row>
    <row r="96" spans="1:49" ht="14.4" customHeight="1">
      <c r="A96" s="155" t="s">
        <v>5015</v>
      </c>
      <c r="B96" s="155">
        <v>38</v>
      </c>
      <c r="C96" s="155">
        <v>1</v>
      </c>
      <c r="D96" s="155">
        <v>4</v>
      </c>
      <c r="E96" s="154" t="s">
        <v>5500</v>
      </c>
      <c r="F96" s="79" t="s">
        <v>4757</v>
      </c>
      <c r="G96" s="79" t="s">
        <v>4905</v>
      </c>
      <c r="H96" s="219" t="s">
        <v>5520</v>
      </c>
      <c r="I96" s="79" t="s">
        <v>4758</v>
      </c>
      <c r="J96" s="80" t="s">
        <v>5511</v>
      </c>
      <c r="L96" s="801" t="s">
        <v>4953</v>
      </c>
      <c r="M96" s="76" t="s">
        <v>160</v>
      </c>
      <c r="N96" s="76" t="s">
        <v>4995</v>
      </c>
      <c r="O96" s="76" t="s">
        <v>4996</v>
      </c>
      <c r="P96" s="76" t="s">
        <v>4997</v>
      </c>
      <c r="AW96" s="78"/>
    </row>
    <row r="97" spans="1:49" ht="14.4" customHeight="1">
      <c r="A97" s="156" t="s">
        <v>5020</v>
      </c>
      <c r="B97" s="156">
        <v>39</v>
      </c>
      <c r="C97" s="156">
        <v>1</v>
      </c>
      <c r="D97" s="156">
        <v>3</v>
      </c>
      <c r="E97" s="154" t="s">
        <v>5033</v>
      </c>
      <c r="F97" s="79" t="s">
        <v>4757</v>
      </c>
      <c r="G97" s="79" t="s">
        <v>4905</v>
      </c>
      <c r="H97" s="79" t="s">
        <v>5311</v>
      </c>
      <c r="I97" s="79" t="s">
        <v>4758</v>
      </c>
      <c r="J97" s="217" t="s">
        <v>5515</v>
      </c>
      <c r="L97" s="801"/>
      <c r="M97" s="76" t="s">
        <v>5292</v>
      </c>
      <c r="N97" s="76" t="s">
        <v>5492</v>
      </c>
      <c r="O97" s="76" t="s">
        <v>5493</v>
      </c>
      <c r="P97" s="171" t="s">
        <v>5494</v>
      </c>
      <c r="Q97" s="76"/>
      <c r="AA97" s="76"/>
      <c r="AB97" s="76"/>
      <c r="AD97" s="76"/>
      <c r="AE97" s="76"/>
      <c r="AF97" s="76"/>
      <c r="AG97" s="76"/>
      <c r="AW97" s="78"/>
    </row>
    <row r="98" spans="1:49" ht="14.4" customHeight="1">
      <c r="A98" s="157" t="s">
        <v>5021</v>
      </c>
      <c r="B98" s="158">
        <v>40</v>
      </c>
      <c r="C98" s="157">
        <v>1</v>
      </c>
      <c r="D98" s="157">
        <v>2</v>
      </c>
      <c r="E98" s="154" t="s">
        <v>5532</v>
      </c>
      <c r="F98" s="79" t="s">
        <v>4757</v>
      </c>
      <c r="G98" s="79" t="s">
        <v>4905</v>
      </c>
      <c r="H98" s="79" t="s">
        <v>5311</v>
      </c>
      <c r="I98" s="79" t="s">
        <v>4758</v>
      </c>
      <c r="J98" s="217" t="s">
        <v>5516</v>
      </c>
      <c r="L98" s="798" t="s">
        <v>4967</v>
      </c>
      <c r="M98" s="171" t="s">
        <v>5440</v>
      </c>
      <c r="N98" s="96" t="s">
        <v>4998</v>
      </c>
      <c r="O98" s="96" t="s">
        <v>4999</v>
      </c>
      <c r="P98" s="97" t="s">
        <v>5000</v>
      </c>
      <c r="Q98" s="97" t="s">
        <v>5001</v>
      </c>
      <c r="AW98" s="78"/>
    </row>
    <row r="99" spans="1:49" ht="14.4" customHeight="1">
      <c r="A99" s="157" t="s">
        <v>5026</v>
      </c>
      <c r="B99" s="158">
        <v>41</v>
      </c>
      <c r="C99" s="157">
        <v>1</v>
      </c>
      <c r="D99" s="157">
        <v>4</v>
      </c>
      <c r="E99" s="221" t="s">
        <v>5035</v>
      </c>
      <c r="F99" s="79" t="s">
        <v>4757</v>
      </c>
      <c r="G99" s="79" t="s">
        <v>5036</v>
      </c>
      <c r="H99" s="79" t="s">
        <v>5315</v>
      </c>
      <c r="I99" s="79" t="s">
        <v>4758</v>
      </c>
      <c r="J99" s="80" t="s">
        <v>5511</v>
      </c>
      <c r="K99" s="79"/>
      <c r="L99" s="798"/>
      <c r="M99" s="76" t="s">
        <v>5441</v>
      </c>
      <c r="N99" s="96" t="s">
        <v>5442</v>
      </c>
      <c r="O99" s="96" t="s">
        <v>5443</v>
      </c>
      <c r="P99" s="97" t="s">
        <v>5447</v>
      </c>
      <c r="Q99" s="97" t="s">
        <v>5448</v>
      </c>
      <c r="Z99" s="76"/>
      <c r="AA99" s="76"/>
      <c r="AB99" s="76"/>
      <c r="AD99" s="76"/>
      <c r="AE99" s="76"/>
      <c r="AF99" s="76"/>
      <c r="AG99" s="76"/>
      <c r="AW99" s="78"/>
    </row>
    <row r="100" spans="1:49" ht="14.4" customHeight="1">
      <c r="A100" s="159" t="s">
        <v>5170</v>
      </c>
      <c r="B100" s="160">
        <v>42</v>
      </c>
      <c r="C100" s="160">
        <v>1</v>
      </c>
      <c r="D100" s="160">
        <v>6</v>
      </c>
      <c r="E100" s="221" t="s">
        <v>5041</v>
      </c>
      <c r="F100" s="79" t="s">
        <v>4757</v>
      </c>
      <c r="G100" s="79" t="s">
        <v>5036</v>
      </c>
      <c r="H100" s="79" t="s">
        <v>5311</v>
      </c>
      <c r="I100" s="79" t="s">
        <v>4758</v>
      </c>
      <c r="J100" s="217" t="s">
        <v>5513</v>
      </c>
      <c r="K100" s="79"/>
      <c r="L100" s="799" t="s">
        <v>4962</v>
      </c>
      <c r="M100" s="76" t="s">
        <v>5008</v>
      </c>
      <c r="N100" s="76" t="s">
        <v>5009</v>
      </c>
      <c r="O100" s="76" t="s">
        <v>5010</v>
      </c>
      <c r="P100" s="76" t="s">
        <v>5011</v>
      </c>
      <c r="AW100" s="78"/>
    </row>
    <row r="101" spans="1:49" ht="14.4" customHeight="1">
      <c r="A101" s="159" t="s">
        <v>5495</v>
      </c>
      <c r="B101" s="160">
        <v>43</v>
      </c>
      <c r="C101" s="160">
        <v>1</v>
      </c>
      <c r="D101" s="160">
        <v>3</v>
      </c>
      <c r="E101" s="221" t="s">
        <v>5042</v>
      </c>
      <c r="F101" s="79" t="s">
        <v>4757</v>
      </c>
      <c r="G101" s="79" t="s">
        <v>5036</v>
      </c>
      <c r="H101" s="79" t="s">
        <v>5311</v>
      </c>
      <c r="I101" s="79" t="s">
        <v>4758</v>
      </c>
      <c r="J101" s="80" t="s">
        <v>5511</v>
      </c>
      <c r="K101" s="79"/>
      <c r="L101" s="799"/>
      <c r="M101" s="76" t="s">
        <v>5505</v>
      </c>
      <c r="N101" s="76" t="s">
        <v>5506</v>
      </c>
      <c r="O101" s="76" t="s">
        <v>5507</v>
      </c>
      <c r="P101" s="76" t="s">
        <v>5508</v>
      </c>
      <c r="Z101" s="76"/>
      <c r="AA101" s="76"/>
      <c r="AB101" s="76"/>
      <c r="AD101" s="76"/>
      <c r="AE101" s="76"/>
      <c r="AF101" s="76"/>
      <c r="AG101" s="76"/>
      <c r="AW101" s="78"/>
    </row>
    <row r="102" spans="1:49" ht="14.4" customHeight="1">
      <c r="A102" s="159" t="s">
        <v>5500</v>
      </c>
      <c r="B102" s="160">
        <v>44</v>
      </c>
      <c r="C102" s="160">
        <v>1</v>
      </c>
      <c r="D102" s="160">
        <v>3</v>
      </c>
      <c r="E102" s="77"/>
      <c r="F102" s="79"/>
      <c r="G102" s="79"/>
      <c r="H102" s="79"/>
      <c r="I102" s="79"/>
      <c r="J102" s="80"/>
      <c r="K102" s="79"/>
      <c r="L102" s="799" t="s">
        <v>4963</v>
      </c>
      <c r="M102" s="76" t="s">
        <v>5016</v>
      </c>
      <c r="N102" s="76" t="s">
        <v>5017</v>
      </c>
      <c r="O102" s="76" t="s">
        <v>5018</v>
      </c>
      <c r="P102" s="76" t="s">
        <v>5019</v>
      </c>
      <c r="AW102" s="78"/>
    </row>
    <row r="103" spans="1:49" ht="14.4" customHeight="1">
      <c r="A103" s="159" t="s">
        <v>5033</v>
      </c>
      <c r="B103" s="160">
        <v>45</v>
      </c>
      <c r="C103" s="160">
        <v>1</v>
      </c>
      <c r="D103" s="160">
        <v>5</v>
      </c>
      <c r="E103" s="77"/>
      <c r="F103" s="79"/>
      <c r="G103" s="79"/>
      <c r="H103" s="79"/>
      <c r="I103" s="79"/>
      <c r="J103" s="80"/>
      <c r="K103" s="79"/>
      <c r="L103" s="799"/>
      <c r="M103" s="76" t="s">
        <v>5468</v>
      </c>
      <c r="N103" s="76" t="s">
        <v>5469</v>
      </c>
      <c r="O103" s="76" t="s">
        <v>5470</v>
      </c>
      <c r="P103" s="171" t="s">
        <v>5471</v>
      </c>
      <c r="Z103" s="76"/>
      <c r="AA103" s="76"/>
      <c r="AB103" s="76"/>
      <c r="AD103" s="76"/>
      <c r="AE103" s="76"/>
      <c r="AF103" s="76"/>
      <c r="AG103" s="76"/>
      <c r="AW103" s="78"/>
    </row>
    <row r="104" spans="1:49" ht="14.4" customHeight="1">
      <c r="A104" s="159" t="s">
        <v>5532</v>
      </c>
      <c r="B104" s="160">
        <v>46</v>
      </c>
      <c r="C104" s="160">
        <v>1</v>
      </c>
      <c r="D104" s="160">
        <v>5</v>
      </c>
      <c r="E104" s="77"/>
      <c r="F104" s="79"/>
      <c r="G104" s="79"/>
      <c r="H104" s="79"/>
      <c r="I104" s="79"/>
      <c r="J104" s="80"/>
      <c r="K104" s="79"/>
      <c r="L104" s="799" t="s">
        <v>4968</v>
      </c>
      <c r="M104" s="76" t="s">
        <v>5022</v>
      </c>
      <c r="N104" s="76" t="s">
        <v>5023</v>
      </c>
      <c r="O104" s="76" t="s">
        <v>4959</v>
      </c>
      <c r="P104" s="76" t="s">
        <v>5024</v>
      </c>
      <c r="Q104" s="76" t="s">
        <v>5025</v>
      </c>
      <c r="AW104" s="78"/>
    </row>
    <row r="105" spans="1:49" ht="14.4" customHeight="1">
      <c r="A105" s="220" t="s">
        <v>5035</v>
      </c>
      <c r="B105" s="220">
        <v>47</v>
      </c>
      <c r="C105" s="220">
        <v>1</v>
      </c>
      <c r="D105" s="220">
        <v>5</v>
      </c>
      <c r="E105" s="77"/>
      <c r="F105" s="79"/>
      <c r="G105" s="79"/>
      <c r="H105" s="79"/>
      <c r="I105" s="79"/>
      <c r="J105" s="80"/>
      <c r="K105" s="79"/>
      <c r="L105" s="799"/>
      <c r="M105" s="76" t="s">
        <v>5539</v>
      </c>
      <c r="N105" s="76" t="s">
        <v>5540</v>
      </c>
      <c r="O105" s="76" t="s">
        <v>5541</v>
      </c>
      <c r="P105" s="76" t="s">
        <v>5542</v>
      </c>
      <c r="Q105" s="76" t="s">
        <v>5543</v>
      </c>
      <c r="Z105" s="76"/>
      <c r="AA105" s="76"/>
      <c r="AB105" s="76"/>
      <c r="AE105" s="76"/>
      <c r="AF105" s="76"/>
      <c r="AG105" s="76"/>
      <c r="AW105" s="78"/>
    </row>
    <row r="106" spans="1:49" ht="14.4" customHeight="1">
      <c r="A106" s="220" t="s">
        <v>5041</v>
      </c>
      <c r="B106" s="220">
        <v>48</v>
      </c>
      <c r="C106" s="220">
        <v>1</v>
      </c>
      <c r="D106" s="220">
        <v>6</v>
      </c>
      <c r="E106" s="77"/>
      <c r="F106" s="79"/>
      <c r="G106" s="79"/>
      <c r="H106" s="79"/>
      <c r="I106" s="79"/>
      <c r="J106" s="80"/>
      <c r="K106" s="79"/>
      <c r="L106" s="799" t="s">
        <v>4970</v>
      </c>
      <c r="M106" s="76" t="s">
        <v>160</v>
      </c>
      <c r="N106" s="76" t="s">
        <v>4770</v>
      </c>
      <c r="O106" s="88" t="str">
        <f>IF(OR(AO19+AO21&lt;IF(AG2&gt;=5,2,1),COUNTIF(AM2:AM15,"蝠鲼滑翔")),"蝠鲼滑翔","")</f>
        <v>蝠鲼滑翔</v>
      </c>
      <c r="P106" s="88" t="str">
        <f>IF(OR(AO19+AO21&lt;IF(AG2&gt;=5,2,1),COUNTIF(AM2:AM15,"灵活攀登")),"灵活攀登","")</f>
        <v>灵活攀登</v>
      </c>
      <c r="Q106" s="88" t="str">
        <f>IF(OR(AO19+AO21&lt;IF(AG2&gt;=5,2,1),COUNTIF(AM2:AM15,"水下适应")),"水下适应","")</f>
        <v>水下适应</v>
      </c>
      <c r="R106" s="89" t="str">
        <f>IF(OR(AND(AO21&lt;1,AO19+AO21&lt;2),COUNTIF(AM2:AM15,"斗殴附件")),"斗殴附件","")</f>
        <v>斗殴附件</v>
      </c>
      <c r="S106" s="89" t="str">
        <f>IF(OR(AND(AO21&lt;1,AO19+AO21&lt;2),COUNTIF(AM2:AM15,"甲壳")),"甲壳","")</f>
        <v>甲壳</v>
      </c>
      <c r="T106" s="89" t="str">
        <f>IF(OR(AND(AO21&lt;1,AO19+AO21&lt;2),COUNTIF(AM2:AM15,"酸液喷吐")),"酸液喷吐","")</f>
        <v>酸液喷吐</v>
      </c>
      <c r="AW106" s="78"/>
    </row>
    <row r="107" spans="1:49" ht="14.4" customHeight="1">
      <c r="A107" s="220" t="s">
        <v>5042</v>
      </c>
      <c r="B107" s="220">
        <v>49</v>
      </c>
      <c r="C107" s="220">
        <v>1</v>
      </c>
      <c r="D107" s="220">
        <v>3</v>
      </c>
      <c r="E107" s="77"/>
      <c r="F107" s="79"/>
      <c r="G107" s="79"/>
      <c r="H107" s="79"/>
      <c r="I107" s="79"/>
      <c r="J107" s="80"/>
      <c r="K107" s="79"/>
      <c r="L107" s="799"/>
      <c r="M107" s="76" t="s">
        <v>5292</v>
      </c>
      <c r="N107" s="76" t="s">
        <v>5029</v>
      </c>
      <c r="O107" s="88" t="s">
        <v>5544</v>
      </c>
      <c r="P107" s="88" t="s">
        <v>5547</v>
      </c>
      <c r="Q107" s="88" t="s">
        <v>5545</v>
      </c>
      <c r="R107" s="89" t="s">
        <v>5546</v>
      </c>
      <c r="S107" s="89" t="s">
        <v>5548</v>
      </c>
      <c r="T107" s="89" t="s">
        <v>5549</v>
      </c>
      <c r="Z107" s="76"/>
      <c r="AA107" s="76"/>
      <c r="AB107" s="76"/>
      <c r="AE107" s="76"/>
      <c r="AF107" s="76"/>
      <c r="AG107" s="76"/>
      <c r="AW107" s="78"/>
    </row>
    <row r="108" spans="1:49" ht="14.4" customHeight="1" thickBot="1">
      <c r="A108" s="131"/>
      <c r="B108" s="131"/>
      <c r="C108" s="131"/>
      <c r="D108" s="131"/>
      <c r="E108" s="107"/>
      <c r="F108" s="164"/>
      <c r="G108" s="164"/>
      <c r="H108" s="164"/>
      <c r="I108" s="164"/>
      <c r="J108" s="165"/>
      <c r="K108" s="79"/>
      <c r="L108" s="799" t="s">
        <v>4977</v>
      </c>
      <c r="M108" s="76" t="s">
        <v>5030</v>
      </c>
      <c r="N108" s="76" t="s">
        <v>5031</v>
      </c>
      <c r="O108" s="76" t="s">
        <v>5032</v>
      </c>
      <c r="AW108" s="78"/>
    </row>
    <row r="109" spans="1:49" ht="14.4" customHeight="1">
      <c r="A109" s="131"/>
      <c r="B109" s="131"/>
      <c r="C109" s="131"/>
      <c r="D109" s="161"/>
      <c r="L109" s="799"/>
      <c r="M109" s="76" t="s">
        <v>5550</v>
      </c>
      <c r="N109" s="76" t="s">
        <v>5551</v>
      </c>
      <c r="O109" s="76" t="s">
        <v>5552</v>
      </c>
      <c r="Z109" s="76"/>
      <c r="AA109" s="76"/>
      <c r="AB109" s="76"/>
      <c r="AE109" s="76"/>
      <c r="AF109" s="76"/>
      <c r="AG109" s="76"/>
      <c r="AW109" s="78"/>
    </row>
    <row r="110" spans="1:49" ht="14.4" customHeight="1">
      <c r="A110" s="131"/>
      <c r="B110" s="131"/>
      <c r="C110" s="131"/>
      <c r="D110" s="161"/>
      <c r="L110" s="800" t="s">
        <v>4980</v>
      </c>
      <c r="M110" s="76" t="s">
        <v>5034</v>
      </c>
      <c r="N110" s="76" t="s">
        <v>1505</v>
      </c>
      <c r="AW110" s="78"/>
    </row>
    <row r="111" spans="1:49" ht="14.4" customHeight="1">
      <c r="A111" s="76"/>
      <c r="B111" s="76"/>
      <c r="C111" s="76"/>
      <c r="D111" s="78"/>
      <c r="L111" s="800"/>
      <c r="M111" s="76" t="s">
        <v>5510</v>
      </c>
      <c r="N111" s="76" t="s">
        <v>5509</v>
      </c>
      <c r="AF111" s="76"/>
      <c r="AG111" s="76"/>
      <c r="AW111" s="78"/>
    </row>
    <row r="112" spans="1:49" ht="14.4" customHeight="1">
      <c r="A112" s="76"/>
      <c r="B112" s="76"/>
      <c r="C112" s="76"/>
      <c r="D112" s="78"/>
      <c r="L112" s="800" t="s">
        <v>4988</v>
      </c>
      <c r="M112" s="76" t="s">
        <v>5037</v>
      </c>
      <c r="N112" s="76" t="s">
        <v>5038</v>
      </c>
      <c r="O112" s="76" t="s">
        <v>5039</v>
      </c>
      <c r="P112" s="76" t="s">
        <v>5040</v>
      </c>
      <c r="AL112" s="76"/>
      <c r="AW112" s="78"/>
    </row>
    <row r="113" spans="1:49" ht="14.4" customHeight="1">
      <c r="A113" s="131"/>
      <c r="B113" s="131"/>
      <c r="C113" s="131"/>
      <c r="D113" s="161"/>
      <c r="L113" s="800"/>
      <c r="M113" s="76" t="s">
        <v>5560</v>
      </c>
      <c r="N113" s="76" t="s">
        <v>5561</v>
      </c>
      <c r="O113" s="76" t="s">
        <v>5562</v>
      </c>
      <c r="P113" s="76" t="s">
        <v>5563</v>
      </c>
      <c r="Z113" s="76"/>
      <c r="AA113" s="76"/>
      <c r="AB113" s="76"/>
      <c r="AE113" s="76"/>
      <c r="AF113" s="76"/>
      <c r="AG113" s="76"/>
      <c r="AN113" s="76"/>
      <c r="AO113" s="76"/>
      <c r="AP113" s="76"/>
      <c r="AW113" s="78"/>
    </row>
    <row r="114" spans="1:49" ht="14.4" customHeight="1">
      <c r="A114" s="76"/>
      <c r="B114" s="76"/>
      <c r="C114" s="76"/>
      <c r="D114" s="78"/>
      <c r="L114" s="800" t="s">
        <v>4796</v>
      </c>
      <c r="M114" s="76" t="s">
        <v>160</v>
      </c>
      <c r="N114" s="81" t="s">
        <v>5043</v>
      </c>
      <c r="O114" s="76" t="s">
        <v>5044</v>
      </c>
      <c r="P114" s="84" t="str">
        <f>IF(OR(AN25&lt;1,COUNTIF(AM2:AM15,"兽皮")),"兽皮","")</f>
        <v>兽皮</v>
      </c>
      <c r="Q114" s="84" t="str">
        <f>IF(OR(AN25&lt;1,COUNTIF(AM2:AM15,"长牙")),"长牙","")</f>
        <v>长牙</v>
      </c>
      <c r="R114" s="84" t="str">
        <f>IF(OR(AN25&lt;1,COUNTIF(AM2:AM15,"迅捷")),"迅捷","")</f>
        <v>迅捷</v>
      </c>
      <c r="S114" s="84" t="str">
        <f>IF(OR(AN25&lt;1,COUNTIF(AM2:AM15,"猎食")),"猎食","")</f>
        <v>猎食</v>
      </c>
      <c r="AW114" s="78"/>
    </row>
    <row r="115" spans="1:49" ht="14.4" customHeight="1">
      <c r="A115" s="76"/>
      <c r="B115" s="76"/>
      <c r="C115" s="76"/>
      <c r="D115" s="78"/>
      <c r="L115" s="800"/>
      <c r="M115" s="76" t="s">
        <v>5292</v>
      </c>
      <c r="N115" s="76" t="s">
        <v>5474</v>
      </c>
      <c r="O115" s="76" t="s">
        <v>5475</v>
      </c>
      <c r="P115" s="84" t="s">
        <v>5476</v>
      </c>
      <c r="Q115" s="84" t="s">
        <v>5477</v>
      </c>
      <c r="R115" s="84" t="s">
        <v>5478</v>
      </c>
      <c r="S115" s="84" t="s">
        <v>5479</v>
      </c>
      <c r="Z115" s="76"/>
      <c r="AA115" s="76"/>
      <c r="AB115" s="76"/>
      <c r="AE115" s="76"/>
      <c r="AF115" s="76"/>
      <c r="AG115" s="76"/>
      <c r="AN115" s="76"/>
      <c r="AO115" s="76"/>
      <c r="AP115" s="76"/>
      <c r="AW115" s="78"/>
    </row>
    <row r="116" spans="1:49" ht="14.4" customHeight="1" thickBot="1">
      <c r="A116" s="162"/>
      <c r="B116" s="162"/>
      <c r="C116" s="162"/>
      <c r="D116" s="163"/>
      <c r="L116" s="800" t="s">
        <v>4992</v>
      </c>
      <c r="M116" s="76" t="s">
        <v>5045</v>
      </c>
      <c r="N116" s="76" t="s">
        <v>5046</v>
      </c>
      <c r="O116" s="76" t="s">
        <v>5047</v>
      </c>
      <c r="P116" s="76" t="s">
        <v>5048</v>
      </c>
      <c r="AW116" s="78"/>
    </row>
    <row r="117" spans="1:49" ht="14.4" customHeight="1">
      <c r="L117" s="800"/>
      <c r="M117" s="76" t="s">
        <v>5556</v>
      </c>
      <c r="N117" s="76" t="s">
        <v>5557</v>
      </c>
      <c r="O117" s="76" t="s">
        <v>5558</v>
      </c>
      <c r="P117" s="76" t="s">
        <v>5559</v>
      </c>
      <c r="AA117" s="76"/>
      <c r="AB117" s="76"/>
      <c r="AE117" s="76"/>
      <c r="AF117" s="76"/>
      <c r="AG117" s="76"/>
      <c r="AN117" s="76"/>
      <c r="AO117" s="76"/>
      <c r="AP117" s="76"/>
      <c r="AW117" s="78"/>
    </row>
    <row r="118" spans="1:49" ht="14.4" customHeight="1">
      <c r="L118" s="793" t="s">
        <v>4993</v>
      </c>
      <c r="M118" s="76" t="s">
        <v>5049</v>
      </c>
      <c r="N118" s="76" t="s">
        <v>5050</v>
      </c>
      <c r="O118" s="81" t="s">
        <v>5051</v>
      </c>
      <c r="AW118" s="78"/>
    </row>
    <row r="119" spans="1:49" ht="14.4" customHeight="1">
      <c r="L119" s="793"/>
      <c r="M119" s="76" t="s">
        <v>5429</v>
      </c>
      <c r="N119" s="76" t="s">
        <v>5430</v>
      </c>
      <c r="O119" s="171" t="s">
        <v>5431</v>
      </c>
      <c r="Z119" s="76"/>
      <c r="AA119" s="76"/>
      <c r="AB119" s="76"/>
      <c r="AE119" s="76"/>
      <c r="AF119" s="76"/>
      <c r="AG119" s="76"/>
      <c r="AN119" s="76"/>
      <c r="AO119" s="76"/>
      <c r="AP119" s="76"/>
      <c r="AW119" s="78"/>
    </row>
    <row r="120" spans="1:49" ht="14.4" customHeight="1">
      <c r="L120" s="793" t="s">
        <v>5003</v>
      </c>
      <c r="M120" s="76" t="s">
        <v>160</v>
      </c>
      <c r="N120" s="96" t="s">
        <v>5052</v>
      </c>
      <c r="O120" s="96" t="s">
        <v>5053</v>
      </c>
      <c r="P120" s="96" t="s">
        <v>5054</v>
      </c>
      <c r="Q120" s="97" t="s">
        <v>5055</v>
      </c>
      <c r="R120" s="97" t="s">
        <v>5056</v>
      </c>
      <c r="S120" s="98" t="s">
        <v>5057</v>
      </c>
      <c r="T120" s="98" t="s">
        <v>5058</v>
      </c>
      <c r="U120" s="99" t="s">
        <v>5059</v>
      </c>
      <c r="V120" s="99" t="s">
        <v>5060</v>
      </c>
      <c r="W120" s="99" t="s">
        <v>4854</v>
      </c>
      <c r="X120" s="99" t="s">
        <v>5061</v>
      </c>
      <c r="AW120" s="78"/>
    </row>
    <row r="121" spans="1:49" ht="14.4" customHeight="1">
      <c r="L121" s="793"/>
      <c r="M121" s="76" t="s">
        <v>5292</v>
      </c>
      <c r="N121" s="96" t="s">
        <v>5432</v>
      </c>
      <c r="O121" s="96" t="s">
        <v>5433</v>
      </c>
      <c r="P121" s="96" t="s">
        <v>5444</v>
      </c>
      <c r="Q121" s="97" t="s">
        <v>5434</v>
      </c>
      <c r="R121" s="97" t="s">
        <v>5435</v>
      </c>
      <c r="S121" s="98" t="s">
        <v>5436</v>
      </c>
      <c r="T121" s="98" t="s">
        <v>5445</v>
      </c>
      <c r="U121" s="99" t="s">
        <v>5437</v>
      </c>
      <c r="V121" s="99" t="s">
        <v>5438</v>
      </c>
      <c r="W121" s="99" t="s">
        <v>5439</v>
      </c>
      <c r="X121" s="99" t="s">
        <v>5446</v>
      </c>
      <c r="Z121" s="76"/>
      <c r="AA121" s="76"/>
      <c r="AB121" s="76"/>
      <c r="AE121" s="76"/>
      <c r="AF121" s="76"/>
      <c r="AG121" s="76"/>
      <c r="AN121" s="76"/>
      <c r="AO121" s="76"/>
      <c r="AP121" s="76"/>
      <c r="AW121" s="78"/>
    </row>
    <row r="122" spans="1:49" ht="14.4" customHeight="1">
      <c r="L122" s="793" t="s">
        <v>5002</v>
      </c>
      <c r="M122" s="76" t="s">
        <v>5062</v>
      </c>
      <c r="N122" s="76" t="s">
        <v>5063</v>
      </c>
      <c r="O122" s="76" t="s">
        <v>4959</v>
      </c>
      <c r="P122" s="76" t="s">
        <v>4960</v>
      </c>
      <c r="Q122" s="76" t="s">
        <v>5064</v>
      </c>
      <c r="AW122" s="78"/>
    </row>
    <row r="123" spans="1:49" ht="14.4" customHeight="1">
      <c r="L123" s="793"/>
      <c r="M123" s="76" t="s">
        <v>5483</v>
      </c>
      <c r="N123" s="76" t="s">
        <v>5484</v>
      </c>
      <c r="O123" s="76" t="s">
        <v>5485</v>
      </c>
      <c r="P123" s="76" t="s">
        <v>5486</v>
      </c>
      <c r="Q123" s="76" t="s">
        <v>5487</v>
      </c>
      <c r="S123" s="76"/>
      <c r="AE123" s="76"/>
      <c r="AF123" s="76"/>
      <c r="AG123" s="76"/>
      <c r="AN123" s="76"/>
      <c r="AO123" s="76"/>
      <c r="AP123" s="76"/>
      <c r="AW123" s="78"/>
    </row>
    <row r="124" spans="1:49" ht="14.4" customHeight="1">
      <c r="L124" s="794" t="s">
        <v>5004</v>
      </c>
      <c r="M124" s="76" t="s">
        <v>5065</v>
      </c>
      <c r="N124" s="76" t="s">
        <v>5066</v>
      </c>
      <c r="O124" s="76" t="s">
        <v>5067</v>
      </c>
      <c r="P124" s="76" t="s">
        <v>5068</v>
      </c>
      <c r="AW124" s="78"/>
    </row>
    <row r="125" spans="1:49" ht="14.4" customHeight="1">
      <c r="L125" s="794"/>
      <c r="M125" s="76" t="s">
        <v>5564</v>
      </c>
      <c r="N125" s="76" t="s">
        <v>5565</v>
      </c>
      <c r="O125" s="76" t="s">
        <v>5566</v>
      </c>
      <c r="P125" s="76" t="s">
        <v>5567</v>
      </c>
      <c r="AE125" s="76"/>
      <c r="AF125" s="76"/>
      <c r="AG125" s="76"/>
      <c r="AN125" s="76"/>
      <c r="AO125" s="76"/>
      <c r="AP125" s="76"/>
      <c r="AW125" s="78"/>
    </row>
    <row r="126" spans="1:49" ht="14.4" customHeight="1">
      <c r="L126" s="795" t="s">
        <v>5012</v>
      </c>
      <c r="M126" s="76" t="s">
        <v>160</v>
      </c>
      <c r="N126" s="76" t="s">
        <v>5069</v>
      </c>
      <c r="O126" s="76" t="s">
        <v>5070</v>
      </c>
      <c r="P126" s="76" t="s">
        <v>5071</v>
      </c>
      <c r="AW126" s="78"/>
    </row>
    <row r="127" spans="1:49" ht="14.4" customHeight="1">
      <c r="L127" s="795"/>
      <c r="M127" s="76" t="s">
        <v>5292</v>
      </c>
      <c r="N127" s="76" t="s">
        <v>5553</v>
      </c>
      <c r="O127" s="76" t="s">
        <v>5554</v>
      </c>
      <c r="P127" s="76" t="s">
        <v>5555</v>
      </c>
      <c r="AE127" s="76"/>
      <c r="AF127" s="76"/>
      <c r="AG127" s="76"/>
      <c r="AN127" s="76"/>
      <c r="AO127" s="76"/>
      <c r="AP127" s="76"/>
      <c r="AW127" s="78"/>
    </row>
    <row r="128" spans="1:49" ht="14.4" customHeight="1">
      <c r="L128" s="795" t="s">
        <v>5015</v>
      </c>
      <c r="M128" s="76" t="s">
        <v>5072</v>
      </c>
      <c r="N128" s="76" t="s">
        <v>4995</v>
      </c>
      <c r="O128" s="76" t="s">
        <v>5073</v>
      </c>
      <c r="P128" s="76" t="s">
        <v>5074</v>
      </c>
      <c r="AW128" s="78"/>
    </row>
    <row r="129" spans="12:49" ht="14.4" customHeight="1">
      <c r="L129" s="795"/>
      <c r="M129" s="76" t="s">
        <v>5523</v>
      </c>
      <c r="N129" s="76" t="s">
        <v>5524</v>
      </c>
      <c r="O129" s="76" t="s">
        <v>5525</v>
      </c>
      <c r="P129" s="76" t="s">
        <v>5526</v>
      </c>
      <c r="AN129" s="76"/>
      <c r="AO129" s="76"/>
      <c r="AP129" s="76"/>
      <c r="AW129" s="78"/>
    </row>
    <row r="130" spans="12:49" ht="14.4" customHeight="1">
      <c r="L130" s="796" t="s">
        <v>5020</v>
      </c>
      <c r="M130" s="81" t="s">
        <v>160</v>
      </c>
      <c r="N130" s="81" t="s">
        <v>5049</v>
      </c>
      <c r="O130" s="81" t="s">
        <v>5075</v>
      </c>
      <c r="AW130" s="78"/>
    </row>
    <row r="131" spans="12:49" ht="14.4" customHeight="1">
      <c r="L131" s="796"/>
      <c r="M131" s="171" t="s">
        <v>5306</v>
      </c>
      <c r="N131" s="171" t="s">
        <v>5176</v>
      </c>
      <c r="O131" s="171" t="s">
        <v>5177</v>
      </c>
      <c r="AN131" s="76"/>
      <c r="AO131" s="76"/>
      <c r="AP131" s="76"/>
      <c r="AW131" s="78"/>
    </row>
    <row r="132" spans="12:49" ht="14.4" customHeight="1">
      <c r="L132" s="797" t="s">
        <v>5021</v>
      </c>
      <c r="M132" s="81" t="s">
        <v>5076</v>
      </c>
      <c r="N132" s="81" t="s">
        <v>5049</v>
      </c>
      <c r="AW132" s="78"/>
    </row>
    <row r="133" spans="12:49" ht="14.4" customHeight="1">
      <c r="L133" s="797"/>
      <c r="M133" s="76" t="s">
        <v>5521</v>
      </c>
      <c r="N133" s="76" t="s">
        <v>5522</v>
      </c>
      <c r="AN133" s="76"/>
      <c r="AO133" s="76"/>
      <c r="AP133" s="76"/>
      <c r="AW133" s="78"/>
    </row>
    <row r="134" spans="12:49" ht="14.4" customHeight="1">
      <c r="L134" s="797" t="s">
        <v>5026</v>
      </c>
      <c r="M134" s="81" t="s">
        <v>5077</v>
      </c>
      <c r="N134" s="81" t="s">
        <v>5078</v>
      </c>
      <c r="O134" s="81" t="s">
        <v>5079</v>
      </c>
      <c r="P134" s="81" t="s">
        <v>5080</v>
      </c>
      <c r="AW134" s="78"/>
    </row>
    <row r="135" spans="12:49" ht="14.4" customHeight="1">
      <c r="L135" s="797"/>
      <c r="M135" s="171" t="s">
        <v>5452</v>
      </c>
      <c r="N135" s="171" t="s">
        <v>5453</v>
      </c>
      <c r="O135" s="171" t="s">
        <v>5454</v>
      </c>
      <c r="P135" s="171" t="s">
        <v>5455</v>
      </c>
      <c r="AW135" s="78"/>
    </row>
    <row r="136" spans="12:49" ht="14.4" customHeight="1">
      <c r="L136" s="791" t="s">
        <v>5028</v>
      </c>
      <c r="M136" s="171" t="s">
        <v>5285</v>
      </c>
      <c r="N136" s="81" t="s">
        <v>5084</v>
      </c>
      <c r="O136" s="171" t="s">
        <v>5288</v>
      </c>
      <c r="P136" s="81" t="s">
        <v>5085</v>
      </c>
      <c r="Q136" s="81" t="s">
        <v>5046</v>
      </c>
      <c r="R136" s="81" t="s">
        <v>5048</v>
      </c>
      <c r="AW136" s="78"/>
    </row>
    <row r="137" spans="12:49" ht="14.4" customHeight="1">
      <c r="L137" s="791"/>
      <c r="M137" s="171" t="s">
        <v>5286</v>
      </c>
      <c r="N137" s="171" t="s">
        <v>5287</v>
      </c>
      <c r="O137" s="171" t="s">
        <v>5289</v>
      </c>
      <c r="P137" s="171" t="s">
        <v>5290</v>
      </c>
      <c r="Q137" s="171" t="s">
        <v>5291</v>
      </c>
      <c r="R137" s="81" t="s">
        <v>5086</v>
      </c>
      <c r="AW137" s="78"/>
    </row>
    <row r="138" spans="12:49" ht="14.4" customHeight="1">
      <c r="L138" s="790" t="s">
        <v>5496</v>
      </c>
      <c r="M138" s="81" t="s">
        <v>5087</v>
      </c>
      <c r="N138" s="81" t="s">
        <v>5088</v>
      </c>
      <c r="O138" s="81" t="s">
        <v>5089</v>
      </c>
      <c r="AW138" s="78"/>
    </row>
    <row r="139" spans="12:49" ht="14.4" customHeight="1">
      <c r="L139" s="791"/>
      <c r="M139" s="171" t="s">
        <v>5497</v>
      </c>
      <c r="N139" s="171" t="s">
        <v>5498</v>
      </c>
      <c r="O139" s="171" t="s">
        <v>5499</v>
      </c>
      <c r="AN139" s="76"/>
      <c r="AO139" s="76"/>
      <c r="AP139" s="76"/>
      <c r="AW139" s="78"/>
    </row>
    <row r="140" spans="12:49" ht="14.4" customHeight="1">
      <c r="L140" s="790" t="s">
        <v>5500</v>
      </c>
      <c r="M140" s="81" t="s">
        <v>5090</v>
      </c>
      <c r="N140" s="81" t="s">
        <v>5091</v>
      </c>
      <c r="O140" s="171" t="s">
        <v>5502</v>
      </c>
      <c r="AW140" s="78"/>
    </row>
    <row r="141" spans="12:49" ht="14.4" customHeight="1">
      <c r="L141" s="791"/>
      <c r="M141" s="171" t="s">
        <v>5501</v>
      </c>
      <c r="N141" s="171" t="s">
        <v>5503</v>
      </c>
      <c r="O141" s="171" t="s">
        <v>5504</v>
      </c>
      <c r="Z141" s="76"/>
      <c r="AN141" s="76"/>
      <c r="AO141" s="76"/>
      <c r="AP141" s="76"/>
      <c r="AW141" s="78"/>
    </row>
    <row r="142" spans="12:49" ht="14.4" customHeight="1">
      <c r="L142" s="791" t="s">
        <v>5033</v>
      </c>
      <c r="M142" s="81" t="s">
        <v>160</v>
      </c>
      <c r="N142" s="81" t="s">
        <v>5092</v>
      </c>
      <c r="O142" s="81" t="s">
        <v>4958</v>
      </c>
      <c r="P142" s="81" t="s">
        <v>5093</v>
      </c>
      <c r="Q142" s="81" t="s">
        <v>5094</v>
      </c>
      <c r="AW142" s="78"/>
    </row>
    <row r="143" spans="12:49" ht="14.4" customHeight="1">
      <c r="L143" s="791"/>
      <c r="M143" s="171" t="s">
        <v>5528</v>
      </c>
      <c r="N143" s="171" t="s">
        <v>5527</v>
      </c>
      <c r="O143" s="171" t="s">
        <v>5529</v>
      </c>
      <c r="P143" s="171" t="s">
        <v>5530</v>
      </c>
      <c r="Q143" s="171" t="s">
        <v>5531</v>
      </c>
      <c r="AW143" s="78"/>
    </row>
    <row r="144" spans="12:49" ht="14.4" customHeight="1">
      <c r="L144" s="790" t="s">
        <v>5532</v>
      </c>
      <c r="M144" s="81" t="s">
        <v>160</v>
      </c>
      <c r="N144" s="171" t="s">
        <v>5535</v>
      </c>
      <c r="O144" s="81" t="s">
        <v>5095</v>
      </c>
      <c r="P144" s="81" t="s">
        <v>5096</v>
      </c>
      <c r="Q144" s="81" t="s">
        <v>5533</v>
      </c>
      <c r="AW144" s="78"/>
    </row>
    <row r="145" spans="12:49" ht="14.4" customHeight="1">
      <c r="L145" s="791"/>
      <c r="M145" s="171" t="s">
        <v>5528</v>
      </c>
      <c r="N145" s="171" t="s">
        <v>5534</v>
      </c>
      <c r="O145" s="171" t="s">
        <v>5536</v>
      </c>
      <c r="P145" s="171" t="s">
        <v>5537</v>
      </c>
      <c r="Q145" s="171" t="s">
        <v>5538</v>
      </c>
      <c r="AW145" s="78"/>
    </row>
    <row r="146" spans="12:49" ht="14.4" customHeight="1">
      <c r="L146" s="792" t="s">
        <v>5035</v>
      </c>
      <c r="M146" s="171" t="s">
        <v>5581</v>
      </c>
      <c r="N146" s="81" t="s">
        <v>160</v>
      </c>
      <c r="O146" s="81" t="s">
        <v>5097</v>
      </c>
      <c r="P146" s="81" t="s">
        <v>5098</v>
      </c>
      <c r="Q146" s="81" t="s">
        <v>5099</v>
      </c>
      <c r="AW146" s="78"/>
    </row>
    <row r="147" spans="12:49" ht="14.4" customHeight="1">
      <c r="L147" s="792"/>
      <c r="M147" s="171" t="s">
        <v>5568</v>
      </c>
      <c r="N147" s="171" t="s">
        <v>5570</v>
      </c>
      <c r="O147" s="171" t="s">
        <v>5571</v>
      </c>
      <c r="P147" s="171" t="s">
        <v>5572</v>
      </c>
      <c r="Q147" s="171" t="s">
        <v>5573</v>
      </c>
      <c r="AW147" s="78"/>
    </row>
    <row r="148" spans="12:49" ht="14.4" customHeight="1">
      <c r="L148" s="792" t="s">
        <v>5041</v>
      </c>
      <c r="M148" s="171" t="s">
        <v>5581</v>
      </c>
      <c r="N148" s="171" t="s">
        <v>5574</v>
      </c>
      <c r="O148" s="171" t="s">
        <v>5575</v>
      </c>
      <c r="P148" s="81" t="s">
        <v>5100</v>
      </c>
      <c r="Q148" s="171" t="s">
        <v>5576</v>
      </c>
      <c r="R148" s="81" t="s">
        <v>5101</v>
      </c>
      <c r="AW148" s="78"/>
    </row>
    <row r="149" spans="12:49" ht="14.4" customHeight="1">
      <c r="L149" s="792"/>
      <c r="M149" s="171" t="s">
        <v>5569</v>
      </c>
      <c r="N149" s="171" t="s">
        <v>5570</v>
      </c>
      <c r="O149" s="171" t="s">
        <v>5577</v>
      </c>
      <c r="P149" s="171" t="s">
        <v>5578</v>
      </c>
      <c r="Q149" s="171" t="s">
        <v>5579</v>
      </c>
      <c r="R149" s="171" t="s">
        <v>5580</v>
      </c>
      <c r="AW149" s="78"/>
    </row>
    <row r="150" spans="12:49" ht="14.4" customHeight="1">
      <c r="L150" s="792" t="s">
        <v>5042</v>
      </c>
      <c r="M150" s="171" t="s">
        <v>5581</v>
      </c>
      <c r="N150" s="81" t="s">
        <v>5097</v>
      </c>
      <c r="O150" s="81" t="s">
        <v>5102</v>
      </c>
      <c r="AW150" s="78"/>
    </row>
    <row r="151" spans="12:49" ht="14.4" customHeight="1">
      <c r="L151" s="792"/>
      <c r="M151" s="171" t="s">
        <v>5569</v>
      </c>
      <c r="N151" s="171" t="s">
        <v>5582</v>
      </c>
      <c r="O151" s="171" t="s">
        <v>5583</v>
      </c>
      <c r="AW151" s="78"/>
    </row>
    <row r="152" spans="12:49" ht="14.4" customHeight="1">
      <c r="L152" s="788"/>
      <c r="M152" s="76"/>
      <c r="N152" s="76"/>
      <c r="O152" s="76"/>
      <c r="AW152" s="78"/>
    </row>
    <row r="153" spans="12:49" ht="14.4" customHeight="1">
      <c r="L153" s="788"/>
      <c r="M153" s="76"/>
      <c r="N153" s="76"/>
      <c r="O153" s="76"/>
      <c r="AW153" s="78"/>
    </row>
    <row r="154" spans="12:49" ht="14.4" customHeight="1">
      <c r="L154" s="788"/>
      <c r="M154" s="76"/>
      <c r="N154" s="76"/>
      <c r="O154" s="76"/>
      <c r="P154" s="76"/>
      <c r="Q154" s="76"/>
      <c r="AW154" s="78"/>
    </row>
    <row r="155" spans="12:49" ht="14.4" customHeight="1">
      <c r="L155" s="788"/>
      <c r="M155" s="76"/>
      <c r="N155" s="76"/>
      <c r="O155" s="76"/>
      <c r="P155" s="76"/>
      <c r="Q155" s="76"/>
      <c r="AW155" s="78"/>
    </row>
    <row r="156" spans="12:49" ht="14.4" customHeight="1">
      <c r="L156" s="788"/>
      <c r="M156" s="76"/>
      <c r="N156" s="76"/>
      <c r="O156" s="76"/>
      <c r="P156" s="76"/>
      <c r="Q156" s="76"/>
      <c r="AW156" s="78"/>
    </row>
    <row r="157" spans="12:49" ht="14.4" customHeight="1">
      <c r="L157" s="788"/>
      <c r="M157" s="76"/>
      <c r="N157" s="76"/>
      <c r="O157" s="76"/>
      <c r="P157" s="76"/>
      <c r="Q157" s="76"/>
      <c r="AW157" s="78"/>
    </row>
    <row r="158" spans="12:49" ht="14.4" customHeight="1">
      <c r="L158" s="788"/>
      <c r="M158" s="76"/>
      <c r="N158" s="76"/>
      <c r="AW158" s="78"/>
    </row>
    <row r="159" spans="12:49" ht="14.4" customHeight="1" thickBot="1">
      <c r="L159" s="789"/>
      <c r="M159" s="94"/>
      <c r="N159" s="95"/>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5"/>
      <c r="AR159" s="95"/>
      <c r="AS159" s="95"/>
      <c r="AT159" s="95"/>
      <c r="AU159" s="95"/>
      <c r="AV159" s="95"/>
      <c r="AW159" s="168"/>
    </row>
  </sheetData>
  <mergeCells count="57">
    <mergeCell ref="L68:L69"/>
    <mergeCell ref="AE1:AF1"/>
    <mergeCell ref="AG1:AJ1"/>
    <mergeCell ref="AK1:AL1"/>
    <mergeCell ref="AM1:AO1"/>
    <mergeCell ref="L54:L55"/>
    <mergeCell ref="L56:L57"/>
    <mergeCell ref="L58:L59"/>
    <mergeCell ref="L60:L61"/>
    <mergeCell ref="L62:L63"/>
    <mergeCell ref="L64:L65"/>
    <mergeCell ref="L66:L67"/>
    <mergeCell ref="L96:L97"/>
    <mergeCell ref="L70:L71"/>
    <mergeCell ref="L72:L73"/>
    <mergeCell ref="L74:L75"/>
    <mergeCell ref="L76:L77"/>
    <mergeCell ref="L78:L79"/>
    <mergeCell ref="L80:L81"/>
    <mergeCell ref="L82:L83"/>
    <mergeCell ref="L84:L85"/>
    <mergeCell ref="L86:L87"/>
    <mergeCell ref="L92:L93"/>
    <mergeCell ref="L94:L95"/>
    <mergeCell ref="L88:L89"/>
    <mergeCell ref="L90:L91"/>
    <mergeCell ref="L120:L121"/>
    <mergeCell ref="L98:L99"/>
    <mergeCell ref="L100:L101"/>
    <mergeCell ref="L102:L103"/>
    <mergeCell ref="L104:L105"/>
    <mergeCell ref="L106:L107"/>
    <mergeCell ref="L108:L109"/>
    <mergeCell ref="L110:L111"/>
    <mergeCell ref="L112:L113"/>
    <mergeCell ref="L114:L115"/>
    <mergeCell ref="L116:L117"/>
    <mergeCell ref="L118:L119"/>
    <mergeCell ref="L142:L143"/>
    <mergeCell ref="L122:L123"/>
    <mergeCell ref="L124:L125"/>
    <mergeCell ref="L126:L127"/>
    <mergeCell ref="L128:L129"/>
    <mergeCell ref="L130:L131"/>
    <mergeCell ref="L132:L133"/>
    <mergeCell ref="L134:L135"/>
    <mergeCell ref="L136:L137"/>
    <mergeCell ref="L138:L139"/>
    <mergeCell ref="L140:L141"/>
    <mergeCell ref="L154:L155"/>
    <mergeCell ref="L156:L157"/>
    <mergeCell ref="L158:L159"/>
    <mergeCell ref="L144:L145"/>
    <mergeCell ref="L146:L147"/>
    <mergeCell ref="L148:L149"/>
    <mergeCell ref="L150:L151"/>
    <mergeCell ref="L152:L153"/>
  </mergeCells>
  <phoneticPr fontId="4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F3FA-7D44-4356-86CC-9A9EC7F883A1}">
  <sheetPr codeName="Sheet9"/>
  <dimension ref="C1:V79"/>
  <sheetViews>
    <sheetView topLeftCell="I1" zoomScale="70" zoomScaleNormal="70" workbookViewId="0">
      <selection activeCell="O5" sqref="O5"/>
    </sheetView>
  </sheetViews>
  <sheetFormatPr defaultRowHeight="14.4" customHeight="1"/>
  <cols>
    <col min="2" max="2" width="8.88671875" customWidth="1"/>
    <col min="3" max="3" width="21.5546875" style="417" customWidth="1"/>
    <col min="4" max="4" width="23" customWidth="1"/>
    <col min="5" max="5" width="23.5546875" customWidth="1"/>
    <col min="6" max="6" width="8.88671875" customWidth="1"/>
    <col min="7" max="7" width="22.77734375" style="417" bestFit="1" customWidth="1"/>
    <col min="8" max="9" width="26.109375" style="417" bestFit="1" customWidth="1"/>
    <col min="10" max="10" width="28.5546875" style="417" bestFit="1" customWidth="1"/>
    <col min="11" max="13" width="19.44140625" style="417" customWidth="1"/>
    <col min="14" max="14" width="62.77734375" customWidth="1"/>
  </cols>
  <sheetData>
    <row r="1" spans="3:22" ht="14.4" customHeight="1">
      <c r="C1" s="415" t="s">
        <v>3761</v>
      </c>
      <c r="D1" s="415" t="s">
        <v>3762</v>
      </c>
      <c r="E1" s="415" t="s">
        <v>3763</v>
      </c>
      <c r="F1" s="417"/>
      <c r="G1" s="422" t="s">
        <v>6326</v>
      </c>
      <c r="H1" s="422" t="s">
        <v>6327</v>
      </c>
      <c r="I1" s="422" t="s">
        <v>5958</v>
      </c>
      <c r="J1" s="422" t="s">
        <v>133</v>
      </c>
      <c r="K1" s="422" t="s">
        <v>6084</v>
      </c>
      <c r="L1" s="422" t="s">
        <v>546</v>
      </c>
      <c r="M1" s="422" t="s">
        <v>73</v>
      </c>
      <c r="N1" s="421" t="s">
        <v>6082</v>
      </c>
      <c r="O1" s="420" t="s">
        <v>6462</v>
      </c>
      <c r="P1" s="420" t="s">
        <v>6327</v>
      </c>
      <c r="Q1" s="420" t="s">
        <v>5958</v>
      </c>
      <c r="R1" s="420" t="s">
        <v>133</v>
      </c>
      <c r="S1" s="420" t="s">
        <v>6084</v>
      </c>
      <c r="T1" s="420" t="s">
        <v>546</v>
      </c>
      <c r="U1" s="420" t="s">
        <v>73</v>
      </c>
      <c r="V1" s="420" t="s">
        <v>6082</v>
      </c>
    </row>
    <row r="2" spans="3:22" ht="14.4" customHeight="1">
      <c r="C2" s="416" t="s">
        <v>4008</v>
      </c>
      <c r="D2" s="417" t="str">
        <f>""</f>
        <v/>
      </c>
      <c r="E2" s="417" t="str">
        <f>""</f>
        <v/>
      </c>
      <c r="F2" s="417"/>
      <c r="G2" s="171" t="s">
        <v>3958</v>
      </c>
      <c r="H2" s="81" t="str">
        <f>""</f>
        <v/>
      </c>
      <c r="I2" s="81" t="str">
        <f>""</f>
        <v/>
      </c>
      <c r="J2" s="81" t="str">
        <f>""</f>
        <v/>
      </c>
      <c r="K2" s="81" t="str">
        <f>""</f>
        <v/>
      </c>
      <c r="L2" s="81" t="str">
        <f>""</f>
        <v/>
      </c>
      <c r="M2" s="81" t="str">
        <f>""</f>
        <v/>
      </c>
      <c r="N2" s="81" t="str">
        <f>""</f>
        <v/>
      </c>
      <c r="O2" s="418" t="str">
        <f>IF(背景!E6="","-",背景!E6)</f>
        <v>-</v>
      </c>
      <c r="P2" s="418" t="str">
        <f>IFERROR(VLOOKUP($O$2,$G:$N,2,0),"")</f>
        <v/>
      </c>
      <c r="Q2" s="418" t="str">
        <f>IFERROR(VLOOKUP($O$2,$G:$N,3,0),"")</f>
        <v/>
      </c>
      <c r="R2" s="418" t="str">
        <f>IFERROR(VLOOKUP($O$2,$G:$N,4,0),"")</f>
        <v/>
      </c>
      <c r="S2" s="418" t="str">
        <f>IFERROR(VLOOKUP($O$2,$G:$N,5,0),"")</f>
        <v/>
      </c>
      <c r="T2" s="418" t="str">
        <f>IFERROR(VLOOKUP($O$2,$G:$N,6,0),"")</f>
        <v/>
      </c>
      <c r="U2" s="418" t="str">
        <f>IFERROR(VLOOKUP($O$2,$G:$N,7,0),"")</f>
        <v/>
      </c>
      <c r="V2" s="418" t="str">
        <f>IFERROR(VLOOKUP($O$2,$G:$N,8,0),"")</f>
        <v/>
      </c>
    </row>
    <row r="3" spans="3:22" ht="14.4" customHeight="1">
      <c r="C3" s="416" t="s">
        <v>3879</v>
      </c>
      <c r="D3" s="59" t="s">
        <v>3764</v>
      </c>
      <c r="E3" s="59" t="s">
        <v>3765</v>
      </c>
      <c r="G3" s="171" t="s">
        <v>3879</v>
      </c>
      <c r="H3" s="171" t="s">
        <v>6332</v>
      </c>
      <c r="I3" s="171" t="s">
        <v>6377</v>
      </c>
      <c r="J3" s="171" t="s">
        <v>3958</v>
      </c>
      <c r="K3" s="171" t="s">
        <v>6328</v>
      </c>
      <c r="L3" s="171" t="s">
        <v>3958</v>
      </c>
      <c r="M3" s="171" t="s">
        <v>6331</v>
      </c>
      <c r="N3" s="62" t="s">
        <v>6363</v>
      </c>
    </row>
    <row r="4" spans="3:22" ht="14.4" customHeight="1">
      <c r="C4" s="416" t="s">
        <v>3880</v>
      </c>
      <c r="D4" s="59" t="s">
        <v>3766</v>
      </c>
      <c r="E4" s="60" t="s">
        <v>3767</v>
      </c>
      <c r="G4" s="171" t="s">
        <v>3880</v>
      </c>
      <c r="H4" s="171" t="s">
        <v>6335</v>
      </c>
      <c r="I4" s="171" t="s">
        <v>3958</v>
      </c>
      <c r="J4" s="171" t="s">
        <v>3958</v>
      </c>
      <c r="K4" s="171" t="s">
        <v>6330</v>
      </c>
      <c r="L4" s="171" t="s">
        <v>6333</v>
      </c>
      <c r="M4" s="171" t="s">
        <v>6334</v>
      </c>
      <c r="N4" s="62" t="s">
        <v>6364</v>
      </c>
    </row>
    <row r="5" spans="3:22" ht="14.4" customHeight="1">
      <c r="C5" s="416" t="s">
        <v>3881</v>
      </c>
      <c r="D5" s="59" t="s">
        <v>3768</v>
      </c>
      <c r="E5" s="60" t="s">
        <v>3769</v>
      </c>
      <c r="G5" s="171" t="s">
        <v>3881</v>
      </c>
      <c r="H5" s="171" t="s">
        <v>6337</v>
      </c>
      <c r="I5" s="171" t="s">
        <v>3958</v>
      </c>
      <c r="J5" s="171" t="s">
        <v>3958</v>
      </c>
      <c r="K5" s="171" t="s">
        <v>6137</v>
      </c>
      <c r="L5" s="171" t="s">
        <v>6338</v>
      </c>
      <c r="M5" s="171" t="s">
        <v>6339</v>
      </c>
      <c r="N5" s="62" t="s">
        <v>6336</v>
      </c>
    </row>
    <row r="6" spans="3:22" ht="14.4" customHeight="1">
      <c r="C6" s="416" t="s">
        <v>3882</v>
      </c>
      <c r="D6" s="59" t="s">
        <v>3768</v>
      </c>
      <c r="E6" s="60" t="s">
        <v>3769</v>
      </c>
      <c r="G6" s="171" t="s">
        <v>6348</v>
      </c>
      <c r="H6" s="171" t="s">
        <v>6337</v>
      </c>
      <c r="I6" s="171" t="s">
        <v>3958</v>
      </c>
      <c r="J6" s="171" t="s">
        <v>3958</v>
      </c>
      <c r="K6" s="171" t="s">
        <v>6137</v>
      </c>
      <c r="L6" s="171" t="s">
        <v>6338</v>
      </c>
      <c r="M6" s="171" t="s">
        <v>6339</v>
      </c>
      <c r="N6" s="62" t="s">
        <v>6347</v>
      </c>
    </row>
    <row r="7" spans="3:22" ht="14.4" customHeight="1">
      <c r="C7" s="416" t="s">
        <v>3883</v>
      </c>
      <c r="D7" s="59" t="s">
        <v>3770</v>
      </c>
      <c r="E7" s="60" t="s">
        <v>3771</v>
      </c>
      <c r="G7" s="171" t="s">
        <v>3883</v>
      </c>
      <c r="H7" s="171" t="s">
        <v>6343</v>
      </c>
      <c r="I7" s="171" t="s">
        <v>3958</v>
      </c>
      <c r="J7" s="171" t="s">
        <v>3958</v>
      </c>
      <c r="K7" s="171" t="s">
        <v>6156</v>
      </c>
      <c r="L7" s="171" t="s">
        <v>6341</v>
      </c>
      <c r="M7" s="171" t="s">
        <v>6342</v>
      </c>
      <c r="N7" s="62" t="s">
        <v>6340</v>
      </c>
    </row>
    <row r="8" spans="3:22" ht="14.4" customHeight="1">
      <c r="C8" s="416" t="s">
        <v>3884</v>
      </c>
      <c r="D8" s="59" t="s">
        <v>3770</v>
      </c>
      <c r="E8" s="60" t="s">
        <v>3771</v>
      </c>
      <c r="G8" s="171" t="s">
        <v>6349</v>
      </c>
      <c r="H8" s="171" t="s">
        <v>6343</v>
      </c>
      <c r="I8" s="171" t="s">
        <v>3958</v>
      </c>
      <c r="J8" s="171" t="s">
        <v>3958</v>
      </c>
      <c r="K8" s="171" t="s">
        <v>6156</v>
      </c>
      <c r="L8" s="171" t="s">
        <v>6341</v>
      </c>
      <c r="M8" s="171" t="s">
        <v>6342</v>
      </c>
      <c r="N8" s="62" t="s">
        <v>6350</v>
      </c>
    </row>
    <row r="9" spans="3:22" ht="14.4" customHeight="1">
      <c r="C9" s="416" t="s">
        <v>3885</v>
      </c>
      <c r="D9" s="59" t="s">
        <v>3772</v>
      </c>
      <c r="E9" s="60" t="s">
        <v>3773</v>
      </c>
      <c r="G9" s="171" t="s">
        <v>3885</v>
      </c>
      <c r="H9" s="171" t="s">
        <v>6352</v>
      </c>
      <c r="I9" s="171" t="s">
        <v>3958</v>
      </c>
      <c r="J9" s="171" t="s">
        <v>3958</v>
      </c>
      <c r="K9" s="171" t="s">
        <v>6346</v>
      </c>
      <c r="L9" s="171" t="s">
        <v>6344</v>
      </c>
      <c r="M9" s="171" t="s">
        <v>6345</v>
      </c>
      <c r="N9" s="62" t="s">
        <v>6351</v>
      </c>
    </row>
    <row r="10" spans="3:22" ht="14.4" customHeight="1">
      <c r="C10" s="416" t="s">
        <v>3886</v>
      </c>
      <c r="D10" s="59" t="s">
        <v>3774</v>
      </c>
      <c r="E10" s="60" t="s">
        <v>3775</v>
      </c>
      <c r="G10" s="171" t="s">
        <v>3886</v>
      </c>
      <c r="H10" s="171" t="s">
        <v>6355</v>
      </c>
      <c r="I10" s="171" t="s">
        <v>3958</v>
      </c>
      <c r="J10" s="171" t="s">
        <v>3958</v>
      </c>
      <c r="K10" s="171" t="s">
        <v>6101</v>
      </c>
      <c r="L10" s="171" t="s">
        <v>6198</v>
      </c>
      <c r="M10" s="171" t="s">
        <v>6354</v>
      </c>
      <c r="N10" s="62" t="s">
        <v>6353</v>
      </c>
    </row>
    <row r="11" spans="3:22" ht="14.4" customHeight="1">
      <c r="C11" s="416" t="s">
        <v>3887</v>
      </c>
      <c r="D11" s="59" t="s">
        <v>3774</v>
      </c>
      <c r="E11" s="60" t="s">
        <v>3775</v>
      </c>
      <c r="G11" s="171" t="s">
        <v>6357</v>
      </c>
      <c r="H11" s="171" t="s">
        <v>6355</v>
      </c>
      <c r="I11" s="171" t="s">
        <v>3958</v>
      </c>
      <c r="J11" s="171" t="s">
        <v>3958</v>
      </c>
      <c r="K11" s="171" t="s">
        <v>6101</v>
      </c>
      <c r="L11" s="171" t="s">
        <v>6198</v>
      </c>
      <c r="M11" s="171" t="s">
        <v>6354</v>
      </c>
      <c r="N11" s="62" t="s">
        <v>6356</v>
      </c>
    </row>
    <row r="12" spans="3:22" ht="14.4" customHeight="1">
      <c r="C12" s="416" t="s">
        <v>3888</v>
      </c>
      <c r="D12" s="59" t="s">
        <v>3776</v>
      </c>
      <c r="E12" s="60" t="s">
        <v>3777</v>
      </c>
      <c r="G12" s="171" t="s">
        <v>3888</v>
      </c>
      <c r="H12" s="171" t="s">
        <v>6362</v>
      </c>
      <c r="I12" s="171" t="s">
        <v>6360</v>
      </c>
      <c r="J12" s="171" t="s">
        <v>3958</v>
      </c>
      <c r="K12" s="171" t="s">
        <v>6358</v>
      </c>
      <c r="L12" s="171" t="s">
        <v>6146</v>
      </c>
      <c r="M12" s="171" t="s">
        <v>6361</v>
      </c>
      <c r="N12" s="62" t="s">
        <v>6365</v>
      </c>
    </row>
    <row r="13" spans="3:22" ht="14.4" customHeight="1">
      <c r="C13" s="416" t="s">
        <v>3889</v>
      </c>
      <c r="D13" s="59" t="s">
        <v>3778</v>
      </c>
      <c r="E13" s="60" t="s">
        <v>3779</v>
      </c>
      <c r="G13" s="171" t="s">
        <v>3889</v>
      </c>
      <c r="H13" s="171" t="s">
        <v>6368</v>
      </c>
      <c r="I13" s="171" t="s">
        <v>6360</v>
      </c>
      <c r="J13" s="171" t="s">
        <v>3958</v>
      </c>
      <c r="K13" s="171" t="s">
        <v>6115</v>
      </c>
      <c r="L13" s="171" t="s">
        <v>6134</v>
      </c>
      <c r="M13" s="171" t="s">
        <v>6367</v>
      </c>
      <c r="N13" s="62" t="s">
        <v>6366</v>
      </c>
    </row>
    <row r="14" spans="3:22" ht="14.4" customHeight="1">
      <c r="C14" s="416" t="s">
        <v>3890</v>
      </c>
      <c r="D14" s="61" t="s">
        <v>3780</v>
      </c>
      <c r="E14" s="60" t="s">
        <v>3779</v>
      </c>
      <c r="G14" s="171" t="s">
        <v>6370</v>
      </c>
      <c r="H14" s="171" t="s">
        <v>6368</v>
      </c>
      <c r="I14" s="171" t="s">
        <v>6360</v>
      </c>
      <c r="J14" s="171" t="s">
        <v>3958</v>
      </c>
      <c r="K14" s="171" t="s">
        <v>6115</v>
      </c>
      <c r="L14" s="171" t="s">
        <v>6134</v>
      </c>
      <c r="M14" s="171" t="s">
        <v>6367</v>
      </c>
      <c r="N14" s="62" t="s">
        <v>6369</v>
      </c>
    </row>
    <row r="15" spans="3:22" ht="14.4" customHeight="1">
      <c r="C15" s="416" t="s">
        <v>3891</v>
      </c>
      <c r="D15" s="59" t="s">
        <v>3781</v>
      </c>
      <c r="E15" s="60" t="s">
        <v>3782</v>
      </c>
      <c r="G15" s="171" t="s">
        <v>3891</v>
      </c>
      <c r="H15" s="171" t="s">
        <v>6374</v>
      </c>
      <c r="I15" s="171" t="s">
        <v>6360</v>
      </c>
      <c r="J15" s="171" t="s">
        <v>3958</v>
      </c>
      <c r="K15" s="171" t="s">
        <v>6372</v>
      </c>
      <c r="L15" s="171" t="s">
        <v>6157</v>
      </c>
      <c r="M15" s="171" t="s">
        <v>6373</v>
      </c>
      <c r="N15" s="62" t="s">
        <v>6371</v>
      </c>
    </row>
    <row r="16" spans="3:22" ht="14.4" customHeight="1">
      <c r="C16" s="416" t="s">
        <v>3892</v>
      </c>
      <c r="D16" s="59" t="s">
        <v>3783</v>
      </c>
      <c r="E16" s="60" t="s">
        <v>3784</v>
      </c>
      <c r="G16" s="171" t="s">
        <v>3892</v>
      </c>
      <c r="H16" s="171" t="s">
        <v>6380</v>
      </c>
      <c r="I16" s="171" t="s">
        <v>6377</v>
      </c>
      <c r="J16" s="171" t="s">
        <v>3958</v>
      </c>
      <c r="K16" s="171" t="s">
        <v>6375</v>
      </c>
      <c r="L16" s="171" t="s">
        <v>3958</v>
      </c>
      <c r="M16" s="171" t="s">
        <v>6378</v>
      </c>
      <c r="N16" s="62" t="s">
        <v>6379</v>
      </c>
    </row>
    <row r="17" spans="3:14" ht="14.4" customHeight="1">
      <c r="C17" s="416" t="s">
        <v>3893</v>
      </c>
      <c r="D17" s="59" t="s">
        <v>3785</v>
      </c>
      <c r="E17" s="60" t="s">
        <v>3786</v>
      </c>
      <c r="G17" s="171" t="s">
        <v>3893</v>
      </c>
      <c r="H17" s="171" t="s">
        <v>6384</v>
      </c>
      <c r="I17" s="171" t="s">
        <v>3958</v>
      </c>
      <c r="J17" s="171" t="s">
        <v>3958</v>
      </c>
      <c r="K17" s="171" t="s">
        <v>6381</v>
      </c>
      <c r="L17" s="171" t="s">
        <v>6382</v>
      </c>
      <c r="M17" s="171" t="s">
        <v>6383</v>
      </c>
      <c r="N17" s="62" t="s">
        <v>6387</v>
      </c>
    </row>
    <row r="18" spans="3:14" ht="14.4" customHeight="1">
      <c r="C18" s="416" t="s">
        <v>3894</v>
      </c>
      <c r="D18" s="59" t="s">
        <v>3785</v>
      </c>
      <c r="E18" s="60" t="s">
        <v>3786</v>
      </c>
      <c r="G18" s="171" t="s">
        <v>6386</v>
      </c>
      <c r="H18" s="171" t="s">
        <v>6385</v>
      </c>
      <c r="I18" s="171" t="s">
        <v>3958</v>
      </c>
      <c r="J18" s="171" t="s">
        <v>3958</v>
      </c>
      <c r="K18" s="171" t="s">
        <v>6381</v>
      </c>
      <c r="L18" s="171" t="s">
        <v>6382</v>
      </c>
      <c r="M18" s="171" t="s">
        <v>6383</v>
      </c>
      <c r="N18" s="62" t="s">
        <v>6388</v>
      </c>
    </row>
    <row r="19" spans="3:14" ht="14.4" customHeight="1">
      <c r="C19" s="416" t="s">
        <v>3895</v>
      </c>
      <c r="D19" s="59" t="s">
        <v>3787</v>
      </c>
      <c r="E19" s="60" t="s">
        <v>3788</v>
      </c>
      <c r="G19" s="171" t="s">
        <v>3895</v>
      </c>
      <c r="H19" s="171" t="s">
        <v>6392</v>
      </c>
      <c r="I19" s="171" t="s">
        <v>3958</v>
      </c>
      <c r="J19" s="171" t="s">
        <v>3958</v>
      </c>
      <c r="K19" s="171" t="s">
        <v>6390</v>
      </c>
      <c r="L19" s="171" t="s">
        <v>6098</v>
      </c>
      <c r="M19" s="171" t="s">
        <v>6391</v>
      </c>
      <c r="N19" s="62" t="s">
        <v>6389</v>
      </c>
    </row>
    <row r="20" spans="3:14" ht="14.4" customHeight="1">
      <c r="C20" s="416" t="s">
        <v>3896</v>
      </c>
      <c r="D20" s="59" t="s">
        <v>3789</v>
      </c>
      <c r="E20" s="59" t="s">
        <v>3790</v>
      </c>
      <c r="G20" s="171" t="s">
        <v>3896</v>
      </c>
      <c r="H20" s="171" t="s">
        <v>6396</v>
      </c>
      <c r="I20" s="171" t="s">
        <v>3958</v>
      </c>
      <c r="J20" s="171" t="s">
        <v>3958</v>
      </c>
      <c r="K20" s="425" t="s">
        <v>6393</v>
      </c>
      <c r="L20" s="171" t="s">
        <v>6214</v>
      </c>
      <c r="M20" s="171" t="s">
        <v>6394</v>
      </c>
      <c r="N20" s="62" t="s">
        <v>6395</v>
      </c>
    </row>
    <row r="21" spans="3:14" ht="14.4" customHeight="1">
      <c r="C21" s="416" t="s">
        <v>3897</v>
      </c>
      <c r="D21" s="59" t="s">
        <v>3791</v>
      </c>
      <c r="E21" s="62" t="s">
        <v>3792</v>
      </c>
      <c r="G21" s="423" t="s">
        <v>6273</v>
      </c>
      <c r="H21" s="423" t="s">
        <v>6397</v>
      </c>
      <c r="I21" s="423" t="s">
        <v>6376</v>
      </c>
      <c r="J21" s="423" t="s">
        <v>3958</v>
      </c>
      <c r="K21" s="423" t="s">
        <v>6329</v>
      </c>
      <c r="L21" s="423" t="s">
        <v>3958</v>
      </c>
      <c r="M21" s="423" t="s">
        <v>6094</v>
      </c>
      <c r="N21" s="419" t="s">
        <v>6095</v>
      </c>
    </row>
    <row r="22" spans="3:14" ht="14.4" customHeight="1">
      <c r="C22" s="416" t="s">
        <v>3898</v>
      </c>
      <c r="D22" s="59" t="s">
        <v>3793</v>
      </c>
      <c r="E22" s="62" t="s">
        <v>3794</v>
      </c>
      <c r="G22" s="423" t="s">
        <v>6274</v>
      </c>
      <c r="H22" s="423" t="s">
        <v>6397</v>
      </c>
      <c r="I22" s="423" t="s">
        <v>6376</v>
      </c>
      <c r="J22" s="423" t="s">
        <v>3958</v>
      </c>
      <c r="K22" s="423" t="s">
        <v>6329</v>
      </c>
      <c r="L22" s="423" t="s">
        <v>3958</v>
      </c>
      <c r="M22" s="423" t="s">
        <v>6094</v>
      </c>
      <c r="N22" s="419" t="s">
        <v>6096</v>
      </c>
    </row>
    <row r="23" spans="3:14" ht="14.4" customHeight="1">
      <c r="C23" s="416" t="s">
        <v>3899</v>
      </c>
      <c r="D23" s="59" t="s">
        <v>3795</v>
      </c>
      <c r="E23" s="62" t="s">
        <v>3796</v>
      </c>
      <c r="G23" s="423" t="s">
        <v>6283</v>
      </c>
      <c r="H23" s="423" t="s">
        <v>6398</v>
      </c>
      <c r="I23" s="423" t="s">
        <v>6399</v>
      </c>
      <c r="J23" s="423" t="s">
        <v>3958</v>
      </c>
      <c r="K23" s="423" t="s">
        <v>6126</v>
      </c>
      <c r="L23" s="423" t="s">
        <v>6127</v>
      </c>
      <c r="M23" s="423" t="s">
        <v>6128</v>
      </c>
      <c r="N23" s="419" t="s">
        <v>6129</v>
      </c>
    </row>
    <row r="24" spans="3:14" ht="14.4" customHeight="1">
      <c r="C24" s="416" t="s">
        <v>3900</v>
      </c>
      <c r="D24" s="59" t="s">
        <v>3797</v>
      </c>
      <c r="E24" s="62" t="s">
        <v>3798</v>
      </c>
      <c r="G24" s="423" t="s">
        <v>6282</v>
      </c>
      <c r="H24" s="423" t="s">
        <v>6400</v>
      </c>
      <c r="I24" s="423" t="s">
        <v>6376</v>
      </c>
      <c r="J24" s="423" t="s">
        <v>3958</v>
      </c>
      <c r="K24" s="423" t="s">
        <v>6123</v>
      </c>
      <c r="L24" s="423" t="s">
        <v>3958</v>
      </c>
      <c r="M24" s="423" t="s">
        <v>6124</v>
      </c>
      <c r="N24" s="419" t="s">
        <v>6125</v>
      </c>
    </row>
    <row r="25" spans="3:14" ht="14.4" customHeight="1">
      <c r="C25" s="416" t="s">
        <v>3901</v>
      </c>
      <c r="D25" s="59" t="s">
        <v>3799</v>
      </c>
      <c r="E25" s="62" t="s">
        <v>3800</v>
      </c>
      <c r="G25" s="423" t="s">
        <v>6276</v>
      </c>
      <c r="H25" s="423" t="s">
        <v>6401</v>
      </c>
      <c r="I25" s="423" t="s">
        <v>6376</v>
      </c>
      <c r="J25" s="423" t="s">
        <v>3958</v>
      </c>
      <c r="K25" s="423" t="s">
        <v>6101</v>
      </c>
      <c r="L25" s="423" t="s">
        <v>3958</v>
      </c>
      <c r="M25" s="423" t="s">
        <v>6102</v>
      </c>
      <c r="N25" s="419" t="s">
        <v>6103</v>
      </c>
    </row>
    <row r="26" spans="3:14" ht="14.4" customHeight="1">
      <c r="C26" s="416" t="s">
        <v>3902</v>
      </c>
      <c r="D26" s="59" t="s">
        <v>3801</v>
      </c>
      <c r="E26" s="62" t="s">
        <v>3802</v>
      </c>
      <c r="G26" s="423" t="s">
        <v>6279</v>
      </c>
      <c r="H26" s="423" t="s">
        <v>6402</v>
      </c>
      <c r="I26" s="423" t="s">
        <v>6376</v>
      </c>
      <c r="J26" s="423" t="s">
        <v>3958</v>
      </c>
      <c r="K26" s="423" t="s">
        <v>6112</v>
      </c>
      <c r="L26" s="423" t="s">
        <v>3958</v>
      </c>
      <c r="M26" s="423" t="s">
        <v>6113</v>
      </c>
      <c r="N26" s="419" t="s">
        <v>6114</v>
      </c>
    </row>
    <row r="27" spans="3:14" ht="14.4" customHeight="1">
      <c r="C27" s="416" t="s">
        <v>3903</v>
      </c>
      <c r="D27" s="59" t="s">
        <v>3803</v>
      </c>
      <c r="E27" s="62" t="s">
        <v>3804</v>
      </c>
      <c r="G27" s="423" t="s">
        <v>6271</v>
      </c>
      <c r="H27" s="423" t="s">
        <v>6403</v>
      </c>
      <c r="I27" s="423" t="s">
        <v>6359</v>
      </c>
      <c r="J27" s="423" t="s">
        <v>3958</v>
      </c>
      <c r="K27" s="423" t="s">
        <v>6086</v>
      </c>
      <c r="L27" s="423" t="s">
        <v>6087</v>
      </c>
      <c r="M27" s="423" t="s">
        <v>6088</v>
      </c>
      <c r="N27" s="419" t="s">
        <v>6089</v>
      </c>
    </row>
    <row r="28" spans="3:14" ht="14.4" customHeight="1">
      <c r="C28" s="416" t="s">
        <v>3904</v>
      </c>
      <c r="D28" s="59" t="s">
        <v>3805</v>
      </c>
      <c r="E28" s="62" t="s">
        <v>3806</v>
      </c>
      <c r="G28" s="423" t="s">
        <v>6277</v>
      </c>
      <c r="H28" s="423" t="s">
        <v>6404</v>
      </c>
      <c r="I28" s="423" t="s">
        <v>6359</v>
      </c>
      <c r="J28" s="423" t="s">
        <v>3958</v>
      </c>
      <c r="K28" s="423" t="s">
        <v>6104</v>
      </c>
      <c r="L28" s="423" t="s">
        <v>6105</v>
      </c>
      <c r="M28" s="423" t="s">
        <v>6106</v>
      </c>
      <c r="N28" s="419" t="s">
        <v>6107</v>
      </c>
    </row>
    <row r="29" spans="3:14" ht="14.4" customHeight="1">
      <c r="C29" s="416" t="s">
        <v>3905</v>
      </c>
      <c r="D29" s="59" t="s">
        <v>3807</v>
      </c>
      <c r="E29" s="62" t="s">
        <v>3808</v>
      </c>
      <c r="G29" s="423" t="s">
        <v>6278</v>
      </c>
      <c r="H29" s="423" t="s">
        <v>6405</v>
      </c>
      <c r="I29" s="423" t="s">
        <v>6359</v>
      </c>
      <c r="J29" s="423" t="s">
        <v>3958</v>
      </c>
      <c r="K29" s="423" t="s">
        <v>6108</v>
      </c>
      <c r="L29" s="423" t="s">
        <v>6109</v>
      </c>
      <c r="M29" s="423" t="s">
        <v>6110</v>
      </c>
      <c r="N29" s="419" t="s">
        <v>6111</v>
      </c>
    </row>
    <row r="30" spans="3:14" ht="14.4" customHeight="1">
      <c r="C30" s="416" t="s">
        <v>3906</v>
      </c>
      <c r="D30" s="59" t="s">
        <v>3809</v>
      </c>
      <c r="E30" s="63" t="s">
        <v>3810</v>
      </c>
      <c r="G30" s="423" t="s">
        <v>6275</v>
      </c>
      <c r="H30" s="423" t="s">
        <v>6406</v>
      </c>
      <c r="I30" s="423" t="s">
        <v>3958</v>
      </c>
      <c r="J30" s="423" t="s">
        <v>3958</v>
      </c>
      <c r="K30" s="423" t="s">
        <v>6097</v>
      </c>
      <c r="L30" s="423" t="s">
        <v>6098</v>
      </c>
      <c r="M30" s="423" t="s">
        <v>6099</v>
      </c>
      <c r="N30" s="419" t="s">
        <v>6100</v>
      </c>
    </row>
    <row r="31" spans="3:14" ht="14.4" customHeight="1">
      <c r="C31" s="416" t="s">
        <v>3907</v>
      </c>
      <c r="D31" s="59" t="s">
        <v>3811</v>
      </c>
      <c r="E31" s="61" t="s">
        <v>3812</v>
      </c>
      <c r="G31" s="423" t="s">
        <v>6272</v>
      </c>
      <c r="H31" s="423" t="s">
        <v>6407</v>
      </c>
      <c r="I31" s="423" t="s">
        <v>3958</v>
      </c>
      <c r="J31" s="423" t="s">
        <v>3958</v>
      </c>
      <c r="K31" s="423" t="s">
        <v>6090</v>
      </c>
      <c r="L31" s="423" t="s">
        <v>6091</v>
      </c>
      <c r="M31" s="423" t="s">
        <v>6092</v>
      </c>
      <c r="N31" s="419" t="s">
        <v>6093</v>
      </c>
    </row>
    <row r="32" spans="3:14" ht="14.4" customHeight="1">
      <c r="C32" s="416" t="s">
        <v>3908</v>
      </c>
      <c r="D32" s="59" t="s">
        <v>3813</v>
      </c>
      <c r="E32" s="61" t="s">
        <v>3814</v>
      </c>
      <c r="G32" s="423" t="s">
        <v>6281</v>
      </c>
      <c r="H32" s="423" t="s">
        <v>6408</v>
      </c>
      <c r="I32" s="423" t="s">
        <v>6359</v>
      </c>
      <c r="J32" s="423" t="s">
        <v>3958</v>
      </c>
      <c r="K32" s="423" t="s">
        <v>6119</v>
      </c>
      <c r="L32" s="423" t="s">
        <v>6120</v>
      </c>
      <c r="M32" s="423" t="s">
        <v>6121</v>
      </c>
      <c r="N32" s="419" t="s">
        <v>6122</v>
      </c>
    </row>
    <row r="33" spans="3:14" ht="14.4" customHeight="1">
      <c r="C33" s="416" t="s">
        <v>3909</v>
      </c>
      <c r="D33" s="61" t="s">
        <v>3815</v>
      </c>
      <c r="E33" s="61" t="s">
        <v>3816</v>
      </c>
      <c r="G33" s="423" t="s">
        <v>6280</v>
      </c>
      <c r="H33" s="423" t="s">
        <v>6409</v>
      </c>
      <c r="I33" s="423" t="s">
        <v>6359</v>
      </c>
      <c r="J33" s="423" t="s">
        <v>3958</v>
      </c>
      <c r="K33" s="423" t="s">
        <v>6115</v>
      </c>
      <c r="L33" s="423" t="s">
        <v>6116</v>
      </c>
      <c r="M33" s="423" t="s">
        <v>6117</v>
      </c>
      <c r="N33" s="419" t="s">
        <v>6118</v>
      </c>
    </row>
    <row r="34" spans="3:14" ht="14.4" customHeight="1">
      <c r="C34" s="416" t="s">
        <v>3910</v>
      </c>
      <c r="D34" s="61" t="s">
        <v>3817</v>
      </c>
      <c r="E34" s="61" t="s">
        <v>3818</v>
      </c>
      <c r="G34" s="171" t="s">
        <v>6284</v>
      </c>
      <c r="H34" s="171" t="s">
        <v>6453</v>
      </c>
      <c r="I34" s="171" t="s">
        <v>6377</v>
      </c>
      <c r="J34" s="171" t="s">
        <v>3958</v>
      </c>
      <c r="K34" s="171" t="s">
        <v>6130</v>
      </c>
      <c r="L34" s="171" t="s">
        <v>3958</v>
      </c>
      <c r="M34" s="171" t="s">
        <v>6131</v>
      </c>
      <c r="N34" s="418" t="s">
        <v>6132</v>
      </c>
    </row>
    <row r="35" spans="3:14" ht="14.4" customHeight="1">
      <c r="C35" s="416" t="s">
        <v>3911</v>
      </c>
      <c r="D35" s="61" t="s">
        <v>3819</v>
      </c>
      <c r="E35" s="61" t="s">
        <v>3820</v>
      </c>
      <c r="G35" s="171" t="s">
        <v>6285</v>
      </c>
      <c r="H35" s="171" t="s">
        <v>6452</v>
      </c>
      <c r="I35" s="171" t="s">
        <v>6410</v>
      </c>
      <c r="J35" s="171" t="s">
        <v>3958</v>
      </c>
      <c r="K35" s="171" t="s">
        <v>6133</v>
      </c>
      <c r="L35" s="171" t="s">
        <v>6134</v>
      </c>
      <c r="M35" s="171" t="s">
        <v>6135</v>
      </c>
      <c r="N35" s="418" t="s">
        <v>6136</v>
      </c>
    </row>
    <row r="36" spans="3:14" ht="14.4" customHeight="1">
      <c r="C36" s="416" t="s">
        <v>3912</v>
      </c>
      <c r="D36" s="61" t="s">
        <v>3821</v>
      </c>
      <c r="E36" s="61" t="s">
        <v>3822</v>
      </c>
      <c r="G36" s="171" t="s">
        <v>6286</v>
      </c>
      <c r="H36" s="171" t="s">
        <v>6454</v>
      </c>
      <c r="I36" s="171" t="s">
        <v>6360</v>
      </c>
      <c r="J36" s="171" t="s">
        <v>3958</v>
      </c>
      <c r="K36" s="171" t="s">
        <v>6137</v>
      </c>
      <c r="L36" s="171" t="s">
        <v>6138</v>
      </c>
      <c r="M36" s="171" t="s">
        <v>6139</v>
      </c>
      <c r="N36" s="418" t="s">
        <v>6140</v>
      </c>
    </row>
    <row r="37" spans="3:14" ht="14.4" customHeight="1">
      <c r="C37" s="416" t="s">
        <v>3913</v>
      </c>
      <c r="D37" s="61" t="s">
        <v>3823</v>
      </c>
      <c r="E37" s="61" t="s">
        <v>3824</v>
      </c>
      <c r="G37" s="171" t="s">
        <v>6287</v>
      </c>
      <c r="H37" s="171" t="s">
        <v>6455</v>
      </c>
      <c r="I37" s="171" t="s">
        <v>6411</v>
      </c>
      <c r="J37" s="171" t="s">
        <v>3958</v>
      </c>
      <c r="K37" s="171" t="s">
        <v>6141</v>
      </c>
      <c r="L37" s="171" t="s">
        <v>6142</v>
      </c>
      <c r="M37" s="171" t="s">
        <v>6143</v>
      </c>
      <c r="N37" s="418" t="s">
        <v>6144</v>
      </c>
    </row>
    <row r="38" spans="3:14" ht="14.4" customHeight="1">
      <c r="C38" s="416" t="s">
        <v>3914</v>
      </c>
      <c r="D38" s="61" t="s">
        <v>3825</v>
      </c>
      <c r="E38" s="61" t="s">
        <v>3826</v>
      </c>
      <c r="G38" s="171" t="s">
        <v>6288</v>
      </c>
      <c r="H38" s="171" t="s">
        <v>6459</v>
      </c>
      <c r="I38" s="171" t="s">
        <v>6412</v>
      </c>
      <c r="J38" s="171" t="s">
        <v>3958</v>
      </c>
      <c r="K38" s="171" t="s">
        <v>6145</v>
      </c>
      <c r="L38" s="171" t="s">
        <v>6146</v>
      </c>
      <c r="M38" s="171" t="s">
        <v>6147</v>
      </c>
      <c r="N38" s="418" t="s">
        <v>6148</v>
      </c>
    </row>
    <row r="39" spans="3:14" ht="14.4" customHeight="1">
      <c r="C39" s="416" t="s">
        <v>3915</v>
      </c>
      <c r="D39" s="61" t="s">
        <v>3827</v>
      </c>
      <c r="E39" s="61" t="s">
        <v>3828</v>
      </c>
      <c r="G39" s="171" t="s">
        <v>6289</v>
      </c>
      <c r="H39" s="171" t="s">
        <v>6456</v>
      </c>
      <c r="I39" s="171" t="s">
        <v>6413</v>
      </c>
      <c r="J39" s="171" t="s">
        <v>3958</v>
      </c>
      <c r="K39" s="171" t="s">
        <v>6149</v>
      </c>
      <c r="L39" s="171" t="s">
        <v>6150</v>
      </c>
      <c r="M39" s="171" t="s">
        <v>6151</v>
      </c>
      <c r="N39" s="418" t="s">
        <v>6152</v>
      </c>
    </row>
    <row r="40" spans="3:14" ht="14.4" customHeight="1">
      <c r="C40" s="416" t="s">
        <v>3916</v>
      </c>
      <c r="D40" s="61" t="s">
        <v>3829</v>
      </c>
      <c r="E40" s="61" t="s">
        <v>3830</v>
      </c>
      <c r="G40" s="171" t="s">
        <v>6290</v>
      </c>
      <c r="H40" s="171" t="s">
        <v>6457</v>
      </c>
      <c r="I40" s="171" t="s">
        <v>6377</v>
      </c>
      <c r="J40" s="171" t="s">
        <v>3958</v>
      </c>
      <c r="K40" s="171" t="s">
        <v>6153</v>
      </c>
      <c r="L40" s="171" t="s">
        <v>3958</v>
      </c>
      <c r="M40" s="171" t="s">
        <v>6154</v>
      </c>
      <c r="N40" s="418" t="s">
        <v>6155</v>
      </c>
    </row>
    <row r="41" spans="3:14" ht="14.4" customHeight="1">
      <c r="C41" s="416" t="s">
        <v>3917</v>
      </c>
      <c r="D41" s="61" t="s">
        <v>3831</v>
      </c>
      <c r="E41" s="61" t="s">
        <v>3832</v>
      </c>
      <c r="G41" s="171" t="s">
        <v>6291</v>
      </c>
      <c r="H41" s="171" t="s">
        <v>6458</v>
      </c>
      <c r="I41" s="171" t="s">
        <v>6414</v>
      </c>
      <c r="J41" s="171" t="s">
        <v>3958</v>
      </c>
      <c r="K41" s="171" t="s">
        <v>6156</v>
      </c>
      <c r="L41" s="171" t="s">
        <v>6157</v>
      </c>
      <c r="M41" s="171" t="s">
        <v>6158</v>
      </c>
      <c r="N41" s="418" t="s">
        <v>6159</v>
      </c>
    </row>
    <row r="42" spans="3:14" ht="14.4" customHeight="1">
      <c r="C42" s="416" t="s">
        <v>3918</v>
      </c>
      <c r="D42" s="61" t="s">
        <v>3833</v>
      </c>
      <c r="E42" s="62" t="s">
        <v>3834</v>
      </c>
      <c r="G42" s="171" t="s">
        <v>6292</v>
      </c>
      <c r="H42" s="171" t="s">
        <v>6460</v>
      </c>
      <c r="I42" s="171" t="s">
        <v>6415</v>
      </c>
      <c r="J42" s="171" t="s">
        <v>3958</v>
      </c>
      <c r="K42" s="171" t="s">
        <v>6160</v>
      </c>
      <c r="L42" s="171" t="s">
        <v>6161</v>
      </c>
      <c r="M42" s="171" t="s">
        <v>6162</v>
      </c>
      <c r="N42" s="418" t="s">
        <v>6163</v>
      </c>
    </row>
    <row r="43" spans="3:14" ht="14.4" customHeight="1">
      <c r="C43" s="416" t="s">
        <v>3919</v>
      </c>
      <c r="D43" s="63" t="s">
        <v>3835</v>
      </c>
      <c r="E43" s="61" t="s">
        <v>3836</v>
      </c>
      <c r="G43" s="171" t="s">
        <v>6293</v>
      </c>
      <c r="H43" s="171" t="s">
        <v>6461</v>
      </c>
      <c r="I43" s="171" t="s">
        <v>6377</v>
      </c>
      <c r="J43" s="171" t="s">
        <v>3958</v>
      </c>
      <c r="K43" s="171" t="s">
        <v>6164</v>
      </c>
      <c r="L43" s="171" t="s">
        <v>3958</v>
      </c>
      <c r="M43" s="171" t="s">
        <v>6165</v>
      </c>
      <c r="N43" s="418" t="s">
        <v>6166</v>
      </c>
    </row>
    <row r="44" spans="3:14" ht="14.4" customHeight="1">
      <c r="C44" s="416" t="s">
        <v>3920</v>
      </c>
      <c r="D44" s="63" t="s">
        <v>3837</v>
      </c>
      <c r="E44" s="63" t="s">
        <v>3838</v>
      </c>
      <c r="G44" s="423" t="s">
        <v>6294</v>
      </c>
      <c r="H44" s="423" t="s">
        <v>6416</v>
      </c>
      <c r="I44" s="423" t="s">
        <v>3958</v>
      </c>
      <c r="J44" s="423" t="s">
        <v>3958</v>
      </c>
      <c r="K44" s="423" t="s">
        <v>6167</v>
      </c>
      <c r="L44" s="423" t="s">
        <v>6168</v>
      </c>
      <c r="M44" s="423" t="s">
        <v>6169</v>
      </c>
      <c r="N44" s="419" t="s">
        <v>6170</v>
      </c>
    </row>
    <row r="45" spans="3:14" ht="14.4" customHeight="1">
      <c r="C45" s="416" t="s">
        <v>3921</v>
      </c>
      <c r="D45" s="63" t="s">
        <v>3839</v>
      </c>
      <c r="E45" s="63" t="s">
        <v>3840</v>
      </c>
      <c r="G45" s="423" t="s">
        <v>6295</v>
      </c>
      <c r="H45" s="423" t="s">
        <v>6416</v>
      </c>
      <c r="I45" s="423" t="s">
        <v>3958</v>
      </c>
      <c r="J45" s="423" t="s">
        <v>3958</v>
      </c>
      <c r="K45" s="423" t="s">
        <v>6167</v>
      </c>
      <c r="L45" s="423" t="s">
        <v>6171</v>
      </c>
      <c r="M45" s="423" t="s">
        <v>6172</v>
      </c>
      <c r="N45" s="419" t="s">
        <v>6170</v>
      </c>
    </row>
    <row r="46" spans="3:14" ht="14.4" customHeight="1">
      <c r="C46" s="416" t="s">
        <v>3922</v>
      </c>
      <c r="D46" s="63" t="s">
        <v>3841</v>
      </c>
      <c r="E46" s="61" t="s">
        <v>3842</v>
      </c>
      <c r="G46" s="423" t="s">
        <v>6296</v>
      </c>
      <c r="H46" s="423" t="s">
        <v>6416</v>
      </c>
      <c r="I46" s="423" t="s">
        <v>3958</v>
      </c>
      <c r="J46" s="423" t="s">
        <v>3958</v>
      </c>
      <c r="K46" s="423" t="s">
        <v>6167</v>
      </c>
      <c r="L46" s="423" t="s">
        <v>6173</v>
      </c>
      <c r="M46" s="423" t="s">
        <v>6174</v>
      </c>
      <c r="N46" s="419" t="s">
        <v>6170</v>
      </c>
    </row>
    <row r="47" spans="3:14" ht="14.4" customHeight="1">
      <c r="C47" s="416" t="s">
        <v>3923</v>
      </c>
      <c r="D47" s="63" t="s">
        <v>3843</v>
      </c>
      <c r="E47" s="61" t="s">
        <v>3844</v>
      </c>
      <c r="G47" s="423" t="s">
        <v>6297</v>
      </c>
      <c r="H47" s="423" t="s">
        <v>6416</v>
      </c>
      <c r="I47" s="423" t="s">
        <v>3958</v>
      </c>
      <c r="J47" s="423" t="s">
        <v>3958</v>
      </c>
      <c r="K47" s="423" t="s">
        <v>6167</v>
      </c>
      <c r="L47" s="423" t="s">
        <v>6175</v>
      </c>
      <c r="M47" s="423" t="s">
        <v>6176</v>
      </c>
      <c r="N47" s="419" t="s">
        <v>6170</v>
      </c>
    </row>
    <row r="48" spans="3:14" ht="14.4" customHeight="1">
      <c r="C48" s="416" t="s">
        <v>3924</v>
      </c>
      <c r="D48" s="63" t="s">
        <v>3845</v>
      </c>
      <c r="E48" s="61" t="s">
        <v>3846</v>
      </c>
      <c r="G48" s="423" t="s">
        <v>6298</v>
      </c>
      <c r="H48" s="423" t="s">
        <v>6416</v>
      </c>
      <c r="I48" s="423" t="s">
        <v>3958</v>
      </c>
      <c r="J48" s="423" t="s">
        <v>3958</v>
      </c>
      <c r="K48" s="423" t="s">
        <v>6167</v>
      </c>
      <c r="L48" s="423" t="s">
        <v>6177</v>
      </c>
      <c r="M48" s="423" t="s">
        <v>6178</v>
      </c>
      <c r="N48" s="419" t="s">
        <v>6170</v>
      </c>
    </row>
    <row r="49" spans="3:14" ht="14.4" customHeight="1">
      <c r="D49" s="63" t="s">
        <v>3847</v>
      </c>
      <c r="E49" s="61" t="s">
        <v>3848</v>
      </c>
      <c r="G49" s="423" t="s">
        <v>6299</v>
      </c>
      <c r="H49" s="423" t="s">
        <v>6416</v>
      </c>
      <c r="I49" s="423" t="s">
        <v>3958</v>
      </c>
      <c r="J49" s="426" t="s">
        <v>3958</v>
      </c>
      <c r="K49" s="423" t="s">
        <v>6167</v>
      </c>
      <c r="L49" s="423" t="s">
        <v>6179</v>
      </c>
      <c r="M49" s="423" t="s">
        <v>6180</v>
      </c>
      <c r="N49" s="419" t="s">
        <v>6170</v>
      </c>
    </row>
    <row r="50" spans="3:14" ht="14.4" customHeight="1">
      <c r="D50" s="61" t="s">
        <v>3849</v>
      </c>
      <c r="E50" s="61" t="s">
        <v>3850</v>
      </c>
      <c r="G50" s="423" t="s">
        <v>6300</v>
      </c>
      <c r="H50" s="423" t="s">
        <v>6416</v>
      </c>
      <c r="I50" s="423" t="s">
        <v>3958</v>
      </c>
      <c r="J50" s="423" t="s">
        <v>3958</v>
      </c>
      <c r="K50" s="423" t="s">
        <v>6167</v>
      </c>
      <c r="L50" s="423" t="s">
        <v>6181</v>
      </c>
      <c r="M50" s="423" t="s">
        <v>6182</v>
      </c>
      <c r="N50" s="419" t="s">
        <v>6170</v>
      </c>
    </row>
    <row r="51" spans="3:14" ht="14.4" customHeight="1">
      <c r="C51" s="416" t="s">
        <v>3927</v>
      </c>
      <c r="D51" s="63" t="s">
        <v>3851</v>
      </c>
      <c r="E51" s="61" t="s">
        <v>3852</v>
      </c>
      <c r="G51" s="423" t="s">
        <v>6301</v>
      </c>
      <c r="H51" s="423" t="s">
        <v>6416</v>
      </c>
      <c r="I51" s="423" t="s">
        <v>3958</v>
      </c>
      <c r="J51" s="423" t="s">
        <v>3958</v>
      </c>
      <c r="K51" s="423" t="s">
        <v>6167</v>
      </c>
      <c r="L51" s="423" t="s">
        <v>6183</v>
      </c>
      <c r="M51" s="423" t="s">
        <v>6184</v>
      </c>
      <c r="N51" s="419" t="s">
        <v>6170</v>
      </c>
    </row>
    <row r="52" spans="3:14" ht="14.4" customHeight="1">
      <c r="C52" s="416" t="s">
        <v>3928</v>
      </c>
      <c r="D52" s="63" t="s">
        <v>3853</v>
      </c>
      <c r="E52" s="63" t="s">
        <v>3854</v>
      </c>
      <c r="G52" s="423" t="s">
        <v>6302</v>
      </c>
      <c r="H52" s="423" t="s">
        <v>6416</v>
      </c>
      <c r="I52" s="423" t="s">
        <v>3958</v>
      </c>
      <c r="J52" s="423" t="s">
        <v>3958</v>
      </c>
      <c r="K52" s="423" t="s">
        <v>6167</v>
      </c>
      <c r="L52" s="423" t="s">
        <v>6185</v>
      </c>
      <c r="M52" s="423" t="s">
        <v>6186</v>
      </c>
      <c r="N52" s="419" t="s">
        <v>6170</v>
      </c>
    </row>
    <row r="53" spans="3:14" ht="14.4" customHeight="1">
      <c r="C53" s="416" t="s">
        <v>3929</v>
      </c>
      <c r="D53" s="61" t="s">
        <v>3855</v>
      </c>
      <c r="E53" s="61" t="s">
        <v>3856</v>
      </c>
      <c r="G53" s="423" t="s">
        <v>6303</v>
      </c>
      <c r="H53" s="423" t="s">
        <v>6416</v>
      </c>
      <c r="I53" s="423" t="s">
        <v>3958</v>
      </c>
      <c r="J53" s="423" t="s">
        <v>3958</v>
      </c>
      <c r="K53" s="423" t="s">
        <v>6167</v>
      </c>
      <c r="L53" s="423" t="s">
        <v>6187</v>
      </c>
      <c r="M53" s="423" t="s">
        <v>6188</v>
      </c>
      <c r="N53" s="419" t="s">
        <v>6170</v>
      </c>
    </row>
    <row r="54" spans="3:14" ht="14.4" customHeight="1">
      <c r="C54" s="416" t="s">
        <v>3930</v>
      </c>
      <c r="D54" s="61" t="s">
        <v>3857</v>
      </c>
      <c r="E54" s="61" t="s">
        <v>3858</v>
      </c>
      <c r="G54" s="423" t="s">
        <v>6304</v>
      </c>
      <c r="H54" s="423" t="s">
        <v>6416</v>
      </c>
      <c r="I54" s="423" t="s">
        <v>3958</v>
      </c>
      <c r="J54" s="423" t="s">
        <v>3958</v>
      </c>
      <c r="K54" s="423" t="s">
        <v>6167</v>
      </c>
      <c r="L54" s="423" t="s">
        <v>6189</v>
      </c>
      <c r="M54" s="423" t="s">
        <v>6190</v>
      </c>
      <c r="N54" s="419" t="s">
        <v>6170</v>
      </c>
    </row>
    <row r="55" spans="3:14" ht="14.4" customHeight="1">
      <c r="C55" s="416" t="s">
        <v>3931</v>
      </c>
      <c r="D55" s="62" t="s">
        <v>3859</v>
      </c>
      <c r="E55" s="61" t="s">
        <v>3860</v>
      </c>
      <c r="G55" s="423" t="s">
        <v>6305</v>
      </c>
      <c r="H55" s="423" t="s">
        <v>6416</v>
      </c>
      <c r="I55" s="423" t="s">
        <v>3958</v>
      </c>
      <c r="J55" s="423" t="s">
        <v>3958</v>
      </c>
      <c r="K55" s="423" t="s">
        <v>6167</v>
      </c>
      <c r="L55" s="423" t="s">
        <v>6191</v>
      </c>
      <c r="M55" s="423" t="s">
        <v>6192</v>
      </c>
      <c r="N55" s="419" t="s">
        <v>6170</v>
      </c>
    </row>
    <row r="56" spans="3:14" ht="14.4" customHeight="1">
      <c r="C56" s="416" t="s">
        <v>3932</v>
      </c>
      <c r="D56" s="62" t="s">
        <v>3861</v>
      </c>
      <c r="E56" s="61" t="s">
        <v>3862</v>
      </c>
      <c r="G56" s="423" t="s">
        <v>6306</v>
      </c>
      <c r="H56" s="423" t="s">
        <v>6416</v>
      </c>
      <c r="I56" s="423" t="s">
        <v>3958</v>
      </c>
      <c r="J56" s="423" t="s">
        <v>3958</v>
      </c>
      <c r="K56" s="423" t="s">
        <v>6167</v>
      </c>
      <c r="L56" s="423" t="s">
        <v>6193</v>
      </c>
      <c r="M56" s="423" t="s">
        <v>6194</v>
      </c>
      <c r="N56" s="419" t="s">
        <v>6170</v>
      </c>
    </row>
    <row r="57" spans="3:14" ht="14.4" customHeight="1">
      <c r="C57" s="416" t="s">
        <v>3933</v>
      </c>
      <c r="D57" s="61" t="s">
        <v>3863</v>
      </c>
      <c r="E57" s="61" t="s">
        <v>3864</v>
      </c>
      <c r="G57" s="171" t="s">
        <v>6309</v>
      </c>
      <c r="H57" s="171" t="s">
        <v>6417</v>
      </c>
      <c r="I57" s="171" t="s">
        <v>6377</v>
      </c>
      <c r="J57" s="171" t="s">
        <v>3958</v>
      </c>
      <c r="K57" s="171" t="s">
        <v>6201</v>
      </c>
      <c r="L57" s="171" t="s">
        <v>6138</v>
      </c>
      <c r="M57" s="171" t="s">
        <v>6202</v>
      </c>
      <c r="N57" s="418" t="s">
        <v>6203</v>
      </c>
    </row>
    <row r="58" spans="3:14" ht="14.4" customHeight="1">
      <c r="C58" s="416" t="s">
        <v>3934</v>
      </c>
      <c r="D58" s="61" t="s">
        <v>3865</v>
      </c>
      <c r="E58" s="61" t="s">
        <v>3866</v>
      </c>
      <c r="G58" s="171" t="s">
        <v>6308</v>
      </c>
      <c r="H58" s="171" t="s">
        <v>6418</v>
      </c>
      <c r="I58" s="171" t="s">
        <v>6360</v>
      </c>
      <c r="J58" s="171" t="s">
        <v>3958</v>
      </c>
      <c r="K58" s="171" t="s">
        <v>6167</v>
      </c>
      <c r="L58" s="171" t="s">
        <v>6198</v>
      </c>
      <c r="M58" s="171" t="s">
        <v>6199</v>
      </c>
      <c r="N58" s="418" t="s">
        <v>6200</v>
      </c>
    </row>
    <row r="59" spans="3:14" ht="14.4" customHeight="1">
      <c r="C59" s="416" t="s">
        <v>3935</v>
      </c>
      <c r="D59" s="61" t="s">
        <v>3867</v>
      </c>
      <c r="E59" s="61" t="s">
        <v>3868</v>
      </c>
      <c r="G59" s="171" t="s">
        <v>6307</v>
      </c>
      <c r="H59" s="171" t="s">
        <v>6419</v>
      </c>
      <c r="I59" s="171" t="s">
        <v>6360</v>
      </c>
      <c r="J59" s="171" t="s">
        <v>3958</v>
      </c>
      <c r="K59" s="171" t="s">
        <v>6195</v>
      </c>
      <c r="L59" s="171" t="s">
        <v>6134</v>
      </c>
      <c r="M59" s="171" t="s">
        <v>6196</v>
      </c>
      <c r="N59" s="418" t="s">
        <v>6197</v>
      </c>
    </row>
    <row r="60" spans="3:14" ht="14.4" customHeight="1">
      <c r="C60" s="416" t="s">
        <v>3936</v>
      </c>
      <c r="D60" s="63" t="s">
        <v>3869</v>
      </c>
      <c r="E60" s="62" t="s">
        <v>3870</v>
      </c>
      <c r="G60" s="171" t="s">
        <v>6311</v>
      </c>
      <c r="H60" s="171" t="s">
        <v>6420</v>
      </c>
      <c r="I60" s="171" t="s">
        <v>6360</v>
      </c>
      <c r="J60" s="171" t="s">
        <v>3958</v>
      </c>
      <c r="K60" s="171" t="s">
        <v>6207</v>
      </c>
      <c r="L60" s="171" t="s">
        <v>6198</v>
      </c>
      <c r="M60" s="171" t="s">
        <v>6208</v>
      </c>
      <c r="N60" s="418" t="s">
        <v>6209</v>
      </c>
    </row>
    <row r="61" spans="3:14" ht="14.4" customHeight="1">
      <c r="C61" s="416" t="s">
        <v>3937</v>
      </c>
      <c r="D61" s="61" t="s">
        <v>3871</v>
      </c>
      <c r="E61" s="61" t="s">
        <v>3872</v>
      </c>
      <c r="G61" s="171" t="s">
        <v>6310</v>
      </c>
      <c r="H61" s="171" t="s">
        <v>6421</v>
      </c>
      <c r="I61" s="171" t="s">
        <v>6360</v>
      </c>
      <c r="J61" s="171" t="s">
        <v>3958</v>
      </c>
      <c r="K61" s="171" t="s">
        <v>6204</v>
      </c>
      <c r="L61" s="171" t="s">
        <v>6198</v>
      </c>
      <c r="M61" s="171" t="s">
        <v>6205</v>
      </c>
      <c r="N61" s="418" t="s">
        <v>6206</v>
      </c>
    </row>
    <row r="62" spans="3:14" ht="14.4" customHeight="1">
      <c r="C62" s="416" t="s">
        <v>3938</v>
      </c>
      <c r="D62" s="61" t="s">
        <v>3873</v>
      </c>
      <c r="E62" s="61" t="s">
        <v>3874</v>
      </c>
      <c r="G62" s="423" t="s">
        <v>1897</v>
      </c>
      <c r="H62" s="423" t="s">
        <v>6431</v>
      </c>
      <c r="I62" s="423" t="s">
        <v>6360</v>
      </c>
      <c r="J62" s="423" t="s">
        <v>3958</v>
      </c>
      <c r="K62" s="423" t="s">
        <v>6210</v>
      </c>
      <c r="L62" s="423" t="s">
        <v>4720</v>
      </c>
      <c r="M62" s="423" t="s">
        <v>6211</v>
      </c>
      <c r="N62" s="419" t="s">
        <v>6212</v>
      </c>
    </row>
    <row r="63" spans="3:14" ht="14.4" customHeight="1">
      <c r="C63" s="416" t="s">
        <v>3939</v>
      </c>
      <c r="D63" s="61" t="s">
        <v>3875</v>
      </c>
      <c r="E63" s="61" t="s">
        <v>3876</v>
      </c>
      <c r="G63" s="171" t="s">
        <v>6313</v>
      </c>
      <c r="H63" s="171" t="s">
        <v>6433</v>
      </c>
      <c r="I63" s="171" t="s">
        <v>6432</v>
      </c>
      <c r="J63" s="171" t="s">
        <v>3958</v>
      </c>
      <c r="K63" s="171" t="s">
        <v>6217</v>
      </c>
      <c r="L63" s="171" t="s">
        <v>3958</v>
      </c>
      <c r="M63" s="171" t="s">
        <v>6218</v>
      </c>
      <c r="N63" s="418" t="s">
        <v>6219</v>
      </c>
    </row>
    <row r="64" spans="3:14" ht="14.4" customHeight="1">
      <c r="C64" s="416" t="s">
        <v>3940</v>
      </c>
      <c r="D64" s="61" t="s">
        <v>3877</v>
      </c>
      <c r="E64" s="61" t="s">
        <v>3878</v>
      </c>
      <c r="G64" s="171" t="s">
        <v>6312</v>
      </c>
      <c r="H64" s="171" t="s">
        <v>6434</v>
      </c>
      <c r="I64" s="171" t="s">
        <v>3958</v>
      </c>
      <c r="J64" s="171" t="s">
        <v>3958</v>
      </c>
      <c r="K64" s="171" t="s">
        <v>6213</v>
      </c>
      <c r="L64" s="171" t="s">
        <v>6214</v>
      </c>
      <c r="M64" s="171" t="s">
        <v>6215</v>
      </c>
      <c r="N64" s="418" t="s">
        <v>6216</v>
      </c>
    </row>
    <row r="65" spans="7:14" ht="14.4" customHeight="1">
      <c r="G65" s="423" t="s">
        <v>6315</v>
      </c>
      <c r="H65" s="423" t="s">
        <v>6435</v>
      </c>
      <c r="I65" s="423" t="s">
        <v>6376</v>
      </c>
      <c r="J65" s="423" t="s">
        <v>6225</v>
      </c>
      <c r="K65" s="423" t="s">
        <v>6226</v>
      </c>
      <c r="L65" s="423" t="s">
        <v>3958</v>
      </c>
      <c r="M65" s="423" t="s">
        <v>6227</v>
      </c>
      <c r="N65" s="419" t="s">
        <v>6228</v>
      </c>
    </row>
    <row r="66" spans="7:14" ht="14.4" customHeight="1">
      <c r="G66" s="423" t="s">
        <v>6314</v>
      </c>
      <c r="H66" s="423" t="s">
        <v>6436</v>
      </c>
      <c r="I66" s="423" t="s">
        <v>6359</v>
      </c>
      <c r="J66" s="423" t="s">
        <v>6220</v>
      </c>
      <c r="K66" s="423" t="s">
        <v>6221</v>
      </c>
      <c r="L66" s="423" t="s">
        <v>6222</v>
      </c>
      <c r="M66" s="423" t="s">
        <v>6223</v>
      </c>
      <c r="N66" s="419" t="s">
        <v>6224</v>
      </c>
    </row>
    <row r="67" spans="7:14" ht="14.4" customHeight="1">
      <c r="G67" s="423" t="s">
        <v>6316</v>
      </c>
      <c r="H67" s="423" t="s">
        <v>6437</v>
      </c>
      <c r="I67" s="423" t="s">
        <v>6359</v>
      </c>
      <c r="J67" s="423" t="s">
        <v>6229</v>
      </c>
      <c r="K67" s="423" t="s">
        <v>6230</v>
      </c>
      <c r="L67" s="423" t="s">
        <v>6231</v>
      </c>
      <c r="M67" s="423" t="s">
        <v>6232</v>
      </c>
      <c r="N67" s="419" t="s">
        <v>6233</v>
      </c>
    </row>
    <row r="68" spans="7:14" ht="14.4" customHeight="1">
      <c r="G68" s="423" t="s">
        <v>6318</v>
      </c>
      <c r="H68" s="423" t="s">
        <v>6438</v>
      </c>
      <c r="I68" s="423" t="s">
        <v>6376</v>
      </c>
      <c r="J68" s="423" t="s">
        <v>6237</v>
      </c>
      <c r="K68" s="423" t="s">
        <v>6238</v>
      </c>
      <c r="L68" s="423" t="s">
        <v>3958</v>
      </c>
      <c r="M68" s="423" t="s">
        <v>6239</v>
      </c>
      <c r="N68" s="419" t="s">
        <v>6240</v>
      </c>
    </row>
    <row r="69" spans="7:14" ht="14.4" customHeight="1">
      <c r="G69" s="423" t="s">
        <v>6317</v>
      </c>
      <c r="H69" s="423" t="s">
        <v>6439</v>
      </c>
      <c r="I69" s="423" t="s">
        <v>6359</v>
      </c>
      <c r="J69" s="423" t="s">
        <v>6234</v>
      </c>
      <c r="K69" s="423" t="s">
        <v>6141</v>
      </c>
      <c r="L69" s="423" t="s">
        <v>6146</v>
      </c>
      <c r="M69" s="423" t="s">
        <v>6235</v>
      </c>
      <c r="N69" s="419" t="s">
        <v>6236</v>
      </c>
    </row>
    <row r="70" spans="7:14" ht="14.4" customHeight="1">
      <c r="G70" s="171" t="s">
        <v>6320</v>
      </c>
      <c r="H70" s="171" t="s">
        <v>6440</v>
      </c>
      <c r="I70" s="171" t="s">
        <v>6441</v>
      </c>
      <c r="J70" s="171" t="s">
        <v>6245</v>
      </c>
      <c r="K70" s="171" t="s">
        <v>6246</v>
      </c>
      <c r="L70" s="171" t="s">
        <v>3958</v>
      </c>
      <c r="M70" s="171" t="s">
        <v>6247</v>
      </c>
      <c r="N70" s="418" t="s">
        <v>6248</v>
      </c>
    </row>
    <row r="71" spans="7:14" ht="14.4" customHeight="1">
      <c r="G71" s="171" t="s">
        <v>6319</v>
      </c>
      <c r="H71" s="171" t="s">
        <v>6442</v>
      </c>
      <c r="I71" s="171" t="s">
        <v>3958</v>
      </c>
      <c r="J71" s="171" t="s">
        <v>6241</v>
      </c>
      <c r="K71" s="171" t="s">
        <v>6119</v>
      </c>
      <c r="L71" s="171" t="s">
        <v>6242</v>
      </c>
      <c r="M71" s="171" t="s">
        <v>6243</v>
      </c>
      <c r="N71" s="418" t="s">
        <v>6244</v>
      </c>
    </row>
    <row r="72" spans="7:14" ht="14.4" customHeight="1">
      <c r="G72" s="423" t="s">
        <v>6321</v>
      </c>
      <c r="H72" s="423" t="s">
        <v>6444</v>
      </c>
      <c r="I72" s="423" t="s">
        <v>6443</v>
      </c>
      <c r="J72" s="423" t="s">
        <v>4678</v>
      </c>
      <c r="K72" s="423" t="s">
        <v>6249</v>
      </c>
      <c r="L72" s="423" t="s">
        <v>3958</v>
      </c>
      <c r="M72" s="423" t="s">
        <v>6250</v>
      </c>
      <c r="N72" s="419" t="s">
        <v>6251</v>
      </c>
    </row>
    <row r="73" spans="7:14" ht="14.4" customHeight="1">
      <c r="G73" s="423" t="s">
        <v>1791</v>
      </c>
      <c r="H73" s="423" t="s">
        <v>6446</v>
      </c>
      <c r="I73" s="423" t="s">
        <v>6445</v>
      </c>
      <c r="J73" s="423" t="s">
        <v>4677</v>
      </c>
      <c r="K73" s="423" t="s">
        <v>6252</v>
      </c>
      <c r="L73" s="423" t="s">
        <v>6253</v>
      </c>
      <c r="M73" s="423" t="s">
        <v>6254</v>
      </c>
      <c r="N73" s="419" t="s">
        <v>6255</v>
      </c>
    </row>
    <row r="74" spans="7:14" ht="14.4" customHeight="1">
      <c r="G74" s="171" t="s">
        <v>6322</v>
      </c>
      <c r="H74" s="171" t="s">
        <v>6447</v>
      </c>
      <c r="I74" s="171" t="s">
        <v>6448</v>
      </c>
      <c r="J74" s="171" t="s">
        <v>6256</v>
      </c>
      <c r="K74" s="171" t="s">
        <v>6257</v>
      </c>
      <c r="L74" s="424" t="s">
        <v>3958</v>
      </c>
      <c r="M74" s="171" t="s">
        <v>6258</v>
      </c>
      <c r="N74" s="418" t="s">
        <v>6259</v>
      </c>
    </row>
    <row r="75" spans="7:14" ht="14.4" customHeight="1">
      <c r="G75" s="171" t="s">
        <v>6323</v>
      </c>
      <c r="H75" s="171" t="s">
        <v>6449</v>
      </c>
      <c r="I75" s="171" t="s">
        <v>6377</v>
      </c>
      <c r="J75" s="171" t="s">
        <v>6256</v>
      </c>
      <c r="K75" s="171" t="s">
        <v>6260</v>
      </c>
      <c r="L75" s="171" t="s">
        <v>3958</v>
      </c>
      <c r="M75" s="171" t="s">
        <v>6261</v>
      </c>
      <c r="N75" s="418" t="s">
        <v>6262</v>
      </c>
    </row>
    <row r="76" spans="7:14" ht="14.4" customHeight="1">
      <c r="G76" s="423" t="s">
        <v>6324</v>
      </c>
      <c r="H76" s="423" t="s">
        <v>6450</v>
      </c>
      <c r="I76" s="423" t="s">
        <v>6359</v>
      </c>
      <c r="J76" s="423" t="s">
        <v>6263</v>
      </c>
      <c r="K76" s="423" t="s">
        <v>6101</v>
      </c>
      <c r="L76" s="423" t="s">
        <v>6264</v>
      </c>
      <c r="M76" s="423" t="s">
        <v>6265</v>
      </c>
      <c r="N76" s="419" t="s">
        <v>6266</v>
      </c>
    </row>
    <row r="77" spans="7:14" ht="14.4" customHeight="1">
      <c r="G77" s="423" t="s">
        <v>6325</v>
      </c>
      <c r="H77" s="423" t="s">
        <v>6451</v>
      </c>
      <c r="I77" s="423" t="s">
        <v>6359</v>
      </c>
      <c r="J77" s="423" t="s">
        <v>6267</v>
      </c>
      <c r="K77" s="423" t="s">
        <v>6268</v>
      </c>
      <c r="L77" s="423" t="s">
        <v>6264</v>
      </c>
      <c r="M77" s="423" t="s">
        <v>6269</v>
      </c>
      <c r="N77" s="419" t="s">
        <v>6270</v>
      </c>
    </row>
    <row r="78" spans="7:14" ht="14.4" customHeight="1">
      <c r="G78" s="416" t="s">
        <v>3925</v>
      </c>
      <c r="H78" s="171" t="s">
        <v>6426</v>
      </c>
      <c r="I78" s="416" t="s">
        <v>3958</v>
      </c>
      <c r="J78" s="416" t="s">
        <v>3958</v>
      </c>
      <c r="K78" s="416" t="s">
        <v>6422</v>
      </c>
      <c r="L78" s="416" t="s">
        <v>6423</v>
      </c>
      <c r="M78" s="416" t="s">
        <v>6424</v>
      </c>
      <c r="N78" s="62" t="s">
        <v>6425</v>
      </c>
    </row>
    <row r="79" spans="7:14" ht="14.4" customHeight="1">
      <c r="G79" s="416" t="s">
        <v>3926</v>
      </c>
      <c r="H79" s="171" t="s">
        <v>6430</v>
      </c>
      <c r="I79" s="171" t="s">
        <v>6360</v>
      </c>
      <c r="J79" s="416" t="s">
        <v>3958</v>
      </c>
      <c r="K79" s="416" t="s">
        <v>6137</v>
      </c>
      <c r="L79" s="416" t="s">
        <v>6427</v>
      </c>
      <c r="M79" s="416" t="s">
        <v>6428</v>
      </c>
      <c r="N79" s="62" t="s">
        <v>6429</v>
      </c>
    </row>
  </sheetData>
  <phoneticPr fontId="4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3F1D-BC04-4C3B-8639-DF2C3A8C9F12}">
  <sheetPr codeName="Sheet12"/>
  <dimension ref="A1:AD21"/>
  <sheetViews>
    <sheetView zoomScale="70" zoomScaleNormal="70" workbookViewId="0">
      <selection activeCell="A22" sqref="A22"/>
    </sheetView>
  </sheetViews>
  <sheetFormatPr defaultRowHeight="18" customHeight="1"/>
  <cols>
    <col min="1" max="1" width="15.77734375" style="448" bestFit="1" customWidth="1"/>
    <col min="2" max="2" width="6.33203125" style="448" bestFit="1" customWidth="1"/>
    <col min="3" max="3" width="10.77734375" style="448" bestFit="1" customWidth="1"/>
    <col min="4" max="4" width="10.109375" style="448" bestFit="1" customWidth="1"/>
    <col min="5" max="6" width="4.44140625" style="448" bestFit="1" customWidth="1"/>
    <col min="7" max="7" width="5.21875" style="448" bestFit="1" customWidth="1"/>
    <col min="8" max="8" width="6.33203125" style="452" bestFit="1" customWidth="1"/>
    <col min="9" max="9" width="17.21875" style="448" bestFit="1" customWidth="1"/>
    <col min="10" max="10" width="6.33203125" style="452" bestFit="1" customWidth="1"/>
    <col min="11" max="12" width="4.109375" style="452" bestFit="1" customWidth="1"/>
    <col min="13" max="13" width="6.33203125" style="452" bestFit="1" customWidth="1"/>
    <col min="14" max="15" width="4.109375" style="452" bestFit="1" customWidth="1"/>
    <col min="16" max="16" width="6.33203125" style="452" bestFit="1" customWidth="1"/>
    <col min="17" max="18" width="4.109375" style="452" bestFit="1" customWidth="1"/>
    <col min="19" max="19" width="6.33203125" style="452" bestFit="1" customWidth="1"/>
    <col min="20" max="21" width="4.109375" style="452" bestFit="1" customWidth="1"/>
    <col min="22" max="22" width="6.33203125" style="452" bestFit="1" customWidth="1"/>
    <col min="23" max="24" width="4.109375" style="452" bestFit="1" customWidth="1"/>
    <col min="25" max="25" width="6.33203125" style="452" bestFit="1" customWidth="1"/>
    <col min="26" max="27" width="4.109375" style="452" bestFit="1" customWidth="1"/>
    <col min="28" max="28" width="26.109375" style="448" customWidth="1"/>
    <col min="29" max="29" width="18.44140625" style="453" customWidth="1"/>
    <col min="30" max="30" width="20.44140625" style="453" customWidth="1"/>
    <col min="31" max="16384" width="8.88671875" style="448"/>
  </cols>
  <sheetData>
    <row r="1" spans="1:30" ht="18" customHeight="1">
      <c r="H1" s="448"/>
      <c r="J1" s="448"/>
      <c r="K1" s="448"/>
      <c r="L1" s="448"/>
      <c r="M1" s="448"/>
      <c r="N1" s="448"/>
      <c r="O1" s="448"/>
      <c r="P1" s="448"/>
      <c r="Q1" s="448"/>
      <c r="R1" s="448"/>
      <c r="S1" s="448"/>
      <c r="T1" s="448"/>
      <c r="U1" s="448"/>
      <c r="V1" s="448"/>
      <c r="W1" s="448"/>
      <c r="X1" s="448"/>
      <c r="Y1" s="448"/>
      <c r="Z1" s="448"/>
      <c r="AA1" s="448"/>
      <c r="AC1" s="448"/>
      <c r="AD1" s="448"/>
    </row>
    <row r="2" spans="1:30" s="449" customFormat="1" ht="18" customHeight="1">
      <c r="B2" s="449" t="s">
        <v>6522</v>
      </c>
      <c r="C2" s="449" t="s">
        <v>6532</v>
      </c>
      <c r="D2" s="449" t="s">
        <v>6524</v>
      </c>
      <c r="E2" s="449" t="s">
        <v>3994</v>
      </c>
      <c r="F2" s="449" t="s">
        <v>6519</v>
      </c>
      <c r="G2" s="449" t="s">
        <v>6520</v>
      </c>
      <c r="H2" s="449" t="s">
        <v>6521</v>
      </c>
      <c r="I2" s="449" t="s">
        <v>6525</v>
      </c>
      <c r="J2" s="449" t="s">
        <v>5933</v>
      </c>
      <c r="M2" s="449" t="s">
        <v>6468</v>
      </c>
      <c r="P2" s="449" t="s">
        <v>6528</v>
      </c>
      <c r="S2" s="449" t="s">
        <v>6469</v>
      </c>
      <c r="V2" s="449" t="s">
        <v>6470</v>
      </c>
      <c r="Y2" s="449" t="s">
        <v>6471</v>
      </c>
      <c r="AB2" s="449" t="s">
        <v>6529</v>
      </c>
      <c r="AC2" s="449" t="s">
        <v>6530</v>
      </c>
      <c r="AD2" s="449" t="s">
        <v>6533</v>
      </c>
    </row>
    <row r="3" spans="1:30" ht="18" customHeight="1">
      <c r="A3" s="448" t="s">
        <v>6534</v>
      </c>
      <c r="B3" s="448" t="s">
        <v>6535</v>
      </c>
      <c r="C3" s="448" t="s">
        <v>6536</v>
      </c>
      <c r="D3" s="448" t="s">
        <v>6537</v>
      </c>
      <c r="E3" s="448">
        <v>12</v>
      </c>
      <c r="F3" s="448">
        <v>1</v>
      </c>
      <c r="G3" s="448" t="s">
        <v>6538</v>
      </c>
      <c r="H3" s="450" t="s">
        <v>6539</v>
      </c>
      <c r="I3" s="448" t="s">
        <v>6540</v>
      </c>
      <c r="J3" s="451">
        <v>2</v>
      </c>
      <c r="K3" s="452">
        <v>-4</v>
      </c>
      <c r="L3" s="452">
        <v>-4</v>
      </c>
      <c r="M3" s="451">
        <v>15</v>
      </c>
      <c r="N3" s="452" t="s">
        <v>6539</v>
      </c>
      <c r="O3" s="452" t="s">
        <v>6539</v>
      </c>
      <c r="P3" s="451">
        <v>8</v>
      </c>
      <c r="Q3" s="452">
        <v>-1</v>
      </c>
      <c r="R3" s="452">
        <v>-1</v>
      </c>
      <c r="S3" s="451">
        <v>2</v>
      </c>
      <c r="T3" s="452">
        <v>-4</v>
      </c>
      <c r="U3" s="452">
        <v>-4</v>
      </c>
      <c r="V3" s="451">
        <v>12</v>
      </c>
      <c r="W3" s="452" t="s">
        <v>6541</v>
      </c>
      <c r="X3" s="452" t="s">
        <v>6541</v>
      </c>
      <c r="Y3" s="451">
        <v>4</v>
      </c>
      <c r="Z3" s="452">
        <v>-3</v>
      </c>
      <c r="AA3" s="452">
        <v>-3</v>
      </c>
      <c r="AB3" s="448" t="s">
        <v>6542</v>
      </c>
      <c r="AC3" s="453" t="s">
        <v>6588</v>
      </c>
      <c r="AD3" s="453" t="s">
        <v>6589</v>
      </c>
    </row>
    <row r="4" spans="1:30" ht="18" customHeight="1">
      <c r="A4" s="448" t="s">
        <v>6543</v>
      </c>
      <c r="B4" s="448" t="s">
        <v>6535</v>
      </c>
      <c r="C4" s="448" t="s">
        <v>6536</v>
      </c>
      <c r="D4" s="448" t="s">
        <v>6537</v>
      </c>
      <c r="E4" s="448">
        <v>12</v>
      </c>
      <c r="F4" s="448">
        <v>2</v>
      </c>
      <c r="G4" s="448" t="s">
        <v>6538</v>
      </c>
      <c r="H4" s="450" t="s">
        <v>6539</v>
      </c>
      <c r="I4" s="448" t="s">
        <v>6619</v>
      </c>
      <c r="J4" s="451">
        <v>3</v>
      </c>
      <c r="K4" s="452">
        <v>-4</v>
      </c>
      <c r="L4" s="452">
        <v>-4</v>
      </c>
      <c r="M4" s="451">
        <v>15</v>
      </c>
      <c r="N4" s="452" t="s">
        <v>6539</v>
      </c>
      <c r="O4" s="452" t="s">
        <v>6544</v>
      </c>
      <c r="P4" s="451">
        <v>10</v>
      </c>
      <c r="Q4" s="452" t="s">
        <v>6545</v>
      </c>
      <c r="R4" s="452" t="s">
        <v>6545</v>
      </c>
      <c r="S4" s="451">
        <v>3</v>
      </c>
      <c r="T4" s="452">
        <v>-4</v>
      </c>
      <c r="U4" s="452">
        <v>-4</v>
      </c>
      <c r="V4" s="451" t="s">
        <v>6546</v>
      </c>
      <c r="W4" s="452" t="s">
        <v>6541</v>
      </c>
      <c r="X4" s="452" t="s">
        <v>6541</v>
      </c>
      <c r="Y4" s="451">
        <v>7</v>
      </c>
      <c r="Z4" s="452">
        <v>-2</v>
      </c>
      <c r="AA4" s="452">
        <v>-2</v>
      </c>
      <c r="AB4" s="448" t="s">
        <v>6590</v>
      </c>
      <c r="AC4" s="453" t="s">
        <v>6591</v>
      </c>
      <c r="AD4" s="453" t="s">
        <v>6592</v>
      </c>
    </row>
    <row r="5" spans="1:30" ht="18" customHeight="1">
      <c r="A5" s="448" t="s">
        <v>6593</v>
      </c>
      <c r="B5" s="448" t="s">
        <v>6535</v>
      </c>
      <c r="C5" s="448" t="s">
        <v>6536</v>
      </c>
      <c r="D5" s="448" t="s">
        <v>6537</v>
      </c>
      <c r="E5" s="448">
        <v>12</v>
      </c>
      <c r="F5" s="448">
        <v>2</v>
      </c>
      <c r="G5" s="448" t="s">
        <v>6538</v>
      </c>
      <c r="H5" s="450" t="s">
        <v>6545</v>
      </c>
      <c r="I5" s="448" t="s">
        <v>6594</v>
      </c>
      <c r="J5" s="451" t="s">
        <v>6595</v>
      </c>
      <c r="K5" s="452">
        <v>-4</v>
      </c>
      <c r="L5" s="452">
        <v>-4</v>
      </c>
      <c r="M5" s="451" t="s">
        <v>6559</v>
      </c>
      <c r="N5" s="452" t="s">
        <v>6545</v>
      </c>
      <c r="O5" s="452" t="s">
        <v>6545</v>
      </c>
      <c r="P5" s="451" t="s">
        <v>6563</v>
      </c>
      <c r="Q5" s="452" t="s">
        <v>6545</v>
      </c>
      <c r="R5" s="452" t="s">
        <v>6545</v>
      </c>
      <c r="S5" s="451" t="s">
        <v>6596</v>
      </c>
      <c r="T5" s="452">
        <v>-5</v>
      </c>
      <c r="U5" s="452">
        <v>-5</v>
      </c>
      <c r="V5" s="451" t="s">
        <v>6597</v>
      </c>
      <c r="W5" s="452">
        <v>-1</v>
      </c>
      <c r="X5" s="452">
        <v>-1</v>
      </c>
      <c r="Y5" s="451" t="s">
        <v>6595</v>
      </c>
      <c r="Z5" s="452">
        <v>-4</v>
      </c>
      <c r="AA5" s="452">
        <v>-4</v>
      </c>
      <c r="AB5" s="448" t="s">
        <v>6598</v>
      </c>
      <c r="AC5" s="453" t="s">
        <v>6599</v>
      </c>
      <c r="AD5" s="453" t="s">
        <v>6600</v>
      </c>
    </row>
    <row r="6" spans="1:30" ht="18" customHeight="1">
      <c r="A6" s="448" t="s">
        <v>6547</v>
      </c>
      <c r="B6" s="448" t="s">
        <v>6535</v>
      </c>
      <c r="C6" s="448" t="s">
        <v>6536</v>
      </c>
      <c r="D6" s="448" t="s">
        <v>6537</v>
      </c>
      <c r="E6" s="448">
        <v>11</v>
      </c>
      <c r="F6" s="448">
        <v>1</v>
      </c>
      <c r="G6" s="448" t="s">
        <v>6538</v>
      </c>
      <c r="H6" s="450" t="s">
        <v>6541</v>
      </c>
      <c r="I6" s="454" t="s">
        <v>6548</v>
      </c>
      <c r="J6" s="451">
        <v>1</v>
      </c>
      <c r="K6" s="452">
        <v>-5</v>
      </c>
      <c r="L6" s="452">
        <v>-5</v>
      </c>
      <c r="M6" s="451">
        <v>13</v>
      </c>
      <c r="N6" s="452" t="s">
        <v>6541</v>
      </c>
      <c r="O6" s="452" t="s">
        <v>6541</v>
      </c>
      <c r="P6" s="451">
        <v>8</v>
      </c>
      <c r="Q6" s="452">
        <v>-1</v>
      </c>
      <c r="R6" s="452">
        <v>-1</v>
      </c>
      <c r="S6" s="451">
        <v>1</v>
      </c>
      <c r="T6" s="452">
        <v>-5</v>
      </c>
      <c r="U6" s="452">
        <v>-5</v>
      </c>
      <c r="V6" s="451">
        <v>8</v>
      </c>
      <c r="W6" s="452">
        <v>-1</v>
      </c>
      <c r="X6" s="452">
        <v>-1</v>
      </c>
      <c r="Y6" s="451">
        <v>3</v>
      </c>
      <c r="Z6" s="452">
        <v>-4</v>
      </c>
      <c r="AA6" s="452">
        <v>-4</v>
      </c>
      <c r="AB6" s="448" t="s">
        <v>6549</v>
      </c>
      <c r="AC6" s="453" t="s">
        <v>6602</v>
      </c>
      <c r="AD6" s="453" t="s">
        <v>6601</v>
      </c>
    </row>
    <row r="7" spans="1:30" ht="18" customHeight="1">
      <c r="A7" s="448" t="s">
        <v>6550</v>
      </c>
      <c r="B7" s="448" t="s">
        <v>6535</v>
      </c>
      <c r="C7" s="448" t="s">
        <v>6536</v>
      </c>
      <c r="D7" s="448" t="s">
        <v>6537</v>
      </c>
      <c r="E7" s="448">
        <v>13</v>
      </c>
      <c r="F7" s="448">
        <v>1</v>
      </c>
      <c r="G7" s="448" t="s">
        <v>6538</v>
      </c>
      <c r="H7" s="452" t="s">
        <v>6551</v>
      </c>
      <c r="I7" s="448" t="s">
        <v>6552</v>
      </c>
      <c r="J7" s="451">
        <v>5</v>
      </c>
      <c r="K7" s="452">
        <v>-3</v>
      </c>
      <c r="L7" s="452">
        <v>-3</v>
      </c>
      <c r="M7" s="451">
        <v>16</v>
      </c>
      <c r="N7" s="452" t="s">
        <v>6551</v>
      </c>
      <c r="O7" s="452" t="s">
        <v>6551</v>
      </c>
      <c r="P7" s="451">
        <v>8</v>
      </c>
      <c r="Q7" s="452">
        <v>-1</v>
      </c>
      <c r="R7" s="452">
        <v>-1</v>
      </c>
      <c r="S7" s="451">
        <v>2</v>
      </c>
      <c r="T7" s="452">
        <v>-4</v>
      </c>
      <c r="U7" s="452">
        <v>-4</v>
      </c>
      <c r="V7" s="451">
        <v>14</v>
      </c>
      <c r="W7" s="452" t="s">
        <v>6539</v>
      </c>
      <c r="X7" s="452" t="s">
        <v>6539</v>
      </c>
      <c r="Y7" s="451">
        <v>6</v>
      </c>
      <c r="Z7" s="452">
        <v>-2</v>
      </c>
      <c r="AA7" s="452">
        <v>-2</v>
      </c>
      <c r="AB7" s="455" t="s">
        <v>6603</v>
      </c>
      <c r="AC7" s="453" t="s">
        <v>6604</v>
      </c>
      <c r="AD7" s="453" t="s">
        <v>6605</v>
      </c>
    </row>
    <row r="8" spans="1:30" ht="18" customHeight="1">
      <c r="A8" s="448" t="s">
        <v>6553</v>
      </c>
      <c r="B8" s="448" t="s">
        <v>6535</v>
      </c>
      <c r="C8" s="448" t="s">
        <v>6536</v>
      </c>
      <c r="D8" s="448" t="s">
        <v>6537</v>
      </c>
      <c r="E8" s="448">
        <v>10</v>
      </c>
      <c r="F8" s="448">
        <v>2</v>
      </c>
      <c r="G8" s="448" t="s">
        <v>6538</v>
      </c>
      <c r="H8" s="452" t="s">
        <v>6545</v>
      </c>
      <c r="I8" s="448" t="s">
        <v>6554</v>
      </c>
      <c r="J8" s="451">
        <v>2</v>
      </c>
      <c r="K8" s="452">
        <v>-4</v>
      </c>
      <c r="L8" s="452">
        <v>-4</v>
      </c>
      <c r="M8" s="451">
        <v>11</v>
      </c>
      <c r="N8" s="452" t="s">
        <v>6545</v>
      </c>
      <c r="O8" s="452" t="s">
        <v>6545</v>
      </c>
      <c r="P8" s="451">
        <v>10</v>
      </c>
      <c r="Q8" s="452" t="s">
        <v>6545</v>
      </c>
      <c r="R8" s="452" t="s">
        <v>6545</v>
      </c>
      <c r="S8" s="451">
        <v>1</v>
      </c>
      <c r="T8" s="452">
        <v>-5</v>
      </c>
      <c r="U8" s="452">
        <v>-5</v>
      </c>
      <c r="V8" s="451">
        <v>8</v>
      </c>
      <c r="W8" s="452">
        <v>-1</v>
      </c>
      <c r="X8" s="452">
        <v>-1</v>
      </c>
      <c r="Y8" s="451">
        <v>3</v>
      </c>
      <c r="Z8" s="452">
        <v>-4</v>
      </c>
      <c r="AA8" s="452">
        <v>-4</v>
      </c>
      <c r="AB8" s="448" t="s">
        <v>6555</v>
      </c>
      <c r="AD8" s="453" t="s">
        <v>6606</v>
      </c>
    </row>
    <row r="9" spans="1:30" ht="18" customHeight="1">
      <c r="A9" s="448" t="s">
        <v>6556</v>
      </c>
      <c r="B9" s="448" t="s">
        <v>6557</v>
      </c>
      <c r="C9" s="448" t="s">
        <v>6536</v>
      </c>
      <c r="D9" s="448" t="s">
        <v>6537</v>
      </c>
      <c r="E9" s="448">
        <v>12</v>
      </c>
      <c r="F9" s="448">
        <v>3</v>
      </c>
      <c r="G9" s="448" t="s">
        <v>6494</v>
      </c>
      <c r="H9" s="452" t="s">
        <v>6539</v>
      </c>
      <c r="I9" s="448" t="s">
        <v>6558</v>
      </c>
      <c r="J9" s="451">
        <v>4</v>
      </c>
      <c r="K9" s="452">
        <v>-3</v>
      </c>
      <c r="L9" s="452">
        <v>-3</v>
      </c>
      <c r="M9" s="451">
        <v>15</v>
      </c>
      <c r="N9" s="452">
        <v>2</v>
      </c>
      <c r="O9" s="452">
        <v>2</v>
      </c>
      <c r="P9" s="451" t="s">
        <v>6559</v>
      </c>
      <c r="Q9" s="452" t="s">
        <v>6545</v>
      </c>
      <c r="R9" s="452" t="s">
        <v>6545</v>
      </c>
      <c r="S9" s="451">
        <v>3</v>
      </c>
      <c r="T9" s="452">
        <v>-4</v>
      </c>
      <c r="U9" s="452">
        <v>-4</v>
      </c>
      <c r="V9" s="451">
        <v>10</v>
      </c>
      <c r="W9" s="452" t="s">
        <v>6545</v>
      </c>
      <c r="X9" s="452" t="s">
        <v>6545</v>
      </c>
      <c r="Y9" s="451">
        <v>4</v>
      </c>
      <c r="Z9" s="452">
        <v>-3</v>
      </c>
      <c r="AA9" s="452">
        <v>-3</v>
      </c>
      <c r="AB9" s="448" t="s">
        <v>6607</v>
      </c>
      <c r="AC9" s="453" t="s">
        <v>6608</v>
      </c>
      <c r="AD9" s="453" t="s">
        <v>6645</v>
      </c>
    </row>
    <row r="10" spans="1:30" ht="18" customHeight="1">
      <c r="A10" s="448" t="s">
        <v>6560</v>
      </c>
      <c r="B10" s="448" t="s">
        <v>6535</v>
      </c>
      <c r="C10" s="448" t="s">
        <v>6536</v>
      </c>
      <c r="D10" s="448" t="s">
        <v>6537</v>
      </c>
      <c r="E10" s="448">
        <v>11</v>
      </c>
      <c r="F10" s="448">
        <v>1</v>
      </c>
      <c r="G10" s="448" t="s">
        <v>6538</v>
      </c>
      <c r="H10" s="452" t="s">
        <v>6541</v>
      </c>
      <c r="I10" s="448" t="s">
        <v>6561</v>
      </c>
      <c r="J10" s="451">
        <v>3</v>
      </c>
      <c r="K10" s="452">
        <v>-4</v>
      </c>
      <c r="L10" s="452">
        <v>-4</v>
      </c>
      <c r="M10" s="451">
        <v>13</v>
      </c>
      <c r="N10" s="452" t="s">
        <v>6541</v>
      </c>
      <c r="O10" s="452" t="s">
        <v>6541</v>
      </c>
      <c r="P10" s="451">
        <v>8</v>
      </c>
      <c r="Q10" s="452">
        <v>-1</v>
      </c>
      <c r="R10" s="452">
        <v>-1</v>
      </c>
      <c r="S10" s="451">
        <v>2</v>
      </c>
      <c r="T10" s="452">
        <v>-4</v>
      </c>
      <c r="U10" s="452">
        <v>-4</v>
      </c>
      <c r="V10" s="451" t="s">
        <v>6546</v>
      </c>
      <c r="W10" s="452" t="s">
        <v>6541</v>
      </c>
      <c r="X10" s="452" t="s">
        <v>6541</v>
      </c>
      <c r="Y10" s="451">
        <v>7</v>
      </c>
      <c r="Z10" s="452">
        <v>-2</v>
      </c>
      <c r="AA10" s="452">
        <v>-2</v>
      </c>
      <c r="AB10" s="448" t="s">
        <v>6609</v>
      </c>
      <c r="AC10" s="453" t="s">
        <v>6610</v>
      </c>
      <c r="AD10" s="453" t="s">
        <v>6611</v>
      </c>
    </row>
    <row r="11" spans="1:30" ht="18" customHeight="1">
      <c r="A11" s="448" t="s">
        <v>6579</v>
      </c>
      <c r="B11" s="448" t="s">
        <v>6535</v>
      </c>
      <c r="C11" s="448" t="s">
        <v>6536</v>
      </c>
      <c r="D11" s="448" t="s">
        <v>6537</v>
      </c>
      <c r="E11" s="448">
        <v>13</v>
      </c>
      <c r="F11" s="448">
        <v>2</v>
      </c>
      <c r="G11" s="448" t="s">
        <v>6538</v>
      </c>
      <c r="H11" s="452" t="s">
        <v>6551</v>
      </c>
      <c r="I11" s="448" t="s">
        <v>6580</v>
      </c>
      <c r="J11" s="451">
        <v>2</v>
      </c>
      <c r="K11" s="452">
        <v>-4</v>
      </c>
      <c r="L11" s="452">
        <v>-4</v>
      </c>
      <c r="M11" s="451" t="s">
        <v>6613</v>
      </c>
      <c r="N11" s="452" t="s">
        <v>6551</v>
      </c>
      <c r="O11" s="452" t="s">
        <v>6551</v>
      </c>
      <c r="P11" s="451" t="s">
        <v>6559</v>
      </c>
      <c r="Q11" s="452" t="s">
        <v>6545</v>
      </c>
      <c r="R11" s="452" t="s">
        <v>6545</v>
      </c>
      <c r="S11" s="451">
        <v>1</v>
      </c>
      <c r="T11" s="452">
        <v>-5</v>
      </c>
      <c r="U11" s="452">
        <v>-5</v>
      </c>
      <c r="V11" s="451" t="s">
        <v>6563</v>
      </c>
      <c r="W11" s="452" t="s">
        <v>6545</v>
      </c>
      <c r="X11" s="452" t="s">
        <v>6545</v>
      </c>
      <c r="Y11" s="451">
        <v>3</v>
      </c>
      <c r="Z11" s="452">
        <v>-4</v>
      </c>
      <c r="AA11" s="452">
        <v>-4</v>
      </c>
      <c r="AB11" s="448" t="s">
        <v>6631</v>
      </c>
      <c r="AC11" s="453" t="str">
        <f>""</f>
        <v/>
      </c>
      <c r="AD11" s="453" t="s">
        <v>6632</v>
      </c>
    </row>
    <row r="12" spans="1:30" ht="18" customHeight="1">
      <c r="A12" s="448" t="s">
        <v>6583</v>
      </c>
      <c r="B12" s="448" t="s">
        <v>6535</v>
      </c>
      <c r="C12" s="448" t="s">
        <v>6536</v>
      </c>
      <c r="D12" s="448" t="s">
        <v>6537</v>
      </c>
      <c r="E12" s="448">
        <v>13</v>
      </c>
      <c r="F12" s="448">
        <v>1</v>
      </c>
      <c r="G12" s="448" t="s">
        <v>6538</v>
      </c>
      <c r="H12" s="452" t="s">
        <v>6551</v>
      </c>
      <c r="I12" s="448" t="s">
        <v>6612</v>
      </c>
      <c r="J12" s="451" t="s">
        <v>6595</v>
      </c>
      <c r="K12" s="452">
        <v>-4</v>
      </c>
      <c r="L12" s="452">
        <v>-4</v>
      </c>
      <c r="M12" s="451" t="s">
        <v>6613</v>
      </c>
      <c r="N12" s="452" t="s">
        <v>6551</v>
      </c>
      <c r="O12" s="452" t="s">
        <v>6551</v>
      </c>
      <c r="P12" s="451" t="s">
        <v>6614</v>
      </c>
      <c r="Q12" s="452">
        <v>-1</v>
      </c>
      <c r="R12" s="452">
        <v>-1</v>
      </c>
      <c r="S12" s="451" t="s">
        <v>6596</v>
      </c>
      <c r="T12" s="452">
        <v>-5</v>
      </c>
      <c r="U12" s="452">
        <v>-5</v>
      </c>
      <c r="V12" s="451" t="s">
        <v>6615</v>
      </c>
      <c r="W12" s="452">
        <v>-2</v>
      </c>
      <c r="X12" s="452">
        <v>-2</v>
      </c>
      <c r="Y12" s="451" t="s">
        <v>6595</v>
      </c>
      <c r="Z12" s="452">
        <v>-4</v>
      </c>
      <c r="AA12" s="452">
        <v>-4</v>
      </c>
      <c r="AB12" s="448" t="s">
        <v>6644</v>
      </c>
      <c r="AC12" s="453" t="s">
        <v>6616</v>
      </c>
      <c r="AD12" s="453" t="s">
        <v>6617</v>
      </c>
    </row>
    <row r="13" spans="1:30" ht="18" customHeight="1">
      <c r="A13" s="448" t="s">
        <v>6562</v>
      </c>
      <c r="B13" s="448" t="s">
        <v>6535</v>
      </c>
      <c r="C13" s="448" t="s">
        <v>6536</v>
      </c>
      <c r="D13" s="448" t="s">
        <v>6537</v>
      </c>
      <c r="E13" s="448">
        <v>10</v>
      </c>
      <c r="F13" s="448">
        <v>1</v>
      </c>
      <c r="G13" s="448" t="s">
        <v>6538</v>
      </c>
      <c r="H13" s="452" t="s">
        <v>6545</v>
      </c>
      <c r="I13" s="448" t="s">
        <v>6618</v>
      </c>
      <c r="J13" s="451">
        <v>2</v>
      </c>
      <c r="K13" s="452">
        <v>-4</v>
      </c>
      <c r="L13" s="452">
        <v>-4</v>
      </c>
      <c r="M13" s="451" t="s">
        <v>6559</v>
      </c>
      <c r="N13" s="452" t="s">
        <v>6545</v>
      </c>
      <c r="O13" s="452" t="s">
        <v>6545</v>
      </c>
      <c r="P13" s="451" t="s">
        <v>6614</v>
      </c>
      <c r="Q13" s="452">
        <v>-1</v>
      </c>
      <c r="R13" s="452">
        <v>-1</v>
      </c>
      <c r="S13" s="451">
        <v>2</v>
      </c>
      <c r="T13" s="452">
        <v>-4</v>
      </c>
      <c r="U13" s="452">
        <v>-4</v>
      </c>
      <c r="V13" s="451" t="s">
        <v>6563</v>
      </c>
      <c r="W13" s="452" t="s">
        <v>6545</v>
      </c>
      <c r="X13" s="452" t="s">
        <v>6545</v>
      </c>
      <c r="Y13" s="451" t="s">
        <v>6564</v>
      </c>
      <c r="Z13" s="452">
        <v>-3</v>
      </c>
      <c r="AA13" s="452">
        <v>-3</v>
      </c>
      <c r="AB13" s="448" t="s">
        <v>6621</v>
      </c>
      <c r="AC13" s="453" t="s">
        <v>6620</v>
      </c>
      <c r="AD13" s="453" t="s">
        <v>6606</v>
      </c>
    </row>
    <row r="14" spans="1:30" ht="18" customHeight="1">
      <c r="A14" s="448" t="s">
        <v>6565</v>
      </c>
      <c r="B14" s="448" t="s">
        <v>6535</v>
      </c>
      <c r="C14" s="448" t="s">
        <v>6536</v>
      </c>
      <c r="D14" s="448" t="s">
        <v>6537</v>
      </c>
      <c r="E14" s="448">
        <v>12</v>
      </c>
      <c r="F14" s="448">
        <v>2</v>
      </c>
      <c r="G14" s="448" t="s">
        <v>6538</v>
      </c>
      <c r="H14" s="452" t="s">
        <v>6539</v>
      </c>
      <c r="I14" s="448" t="s">
        <v>6566</v>
      </c>
      <c r="J14" s="451">
        <v>2</v>
      </c>
      <c r="K14" s="452">
        <v>-4</v>
      </c>
      <c r="L14" s="452">
        <v>-4</v>
      </c>
      <c r="M14" s="451">
        <v>14</v>
      </c>
      <c r="N14" s="452" t="s">
        <v>6539</v>
      </c>
      <c r="O14" s="452" t="s">
        <v>6539</v>
      </c>
      <c r="P14" s="451" t="s">
        <v>6597</v>
      </c>
      <c r="Q14" s="452">
        <v>-1</v>
      </c>
      <c r="R14" s="452">
        <v>-1</v>
      </c>
      <c r="S14" s="451" t="s">
        <v>6595</v>
      </c>
      <c r="T14" s="452">
        <v>-4</v>
      </c>
      <c r="U14" s="452">
        <v>-4</v>
      </c>
      <c r="V14" s="451" t="s">
        <v>6546</v>
      </c>
      <c r="W14" s="452" t="s">
        <v>6541</v>
      </c>
      <c r="X14" s="452" t="s">
        <v>6541</v>
      </c>
      <c r="Y14" s="451">
        <v>6</v>
      </c>
      <c r="Z14" s="452">
        <v>-2</v>
      </c>
      <c r="AA14" s="452">
        <v>-2</v>
      </c>
      <c r="AB14" s="448" t="s">
        <v>6622</v>
      </c>
      <c r="AC14" s="453" t="s">
        <v>6623</v>
      </c>
      <c r="AD14" s="453" t="s">
        <v>6624</v>
      </c>
    </row>
    <row r="15" spans="1:30" ht="18" customHeight="1">
      <c r="A15" s="448" t="s">
        <v>6584</v>
      </c>
      <c r="B15" s="448" t="s">
        <v>6535</v>
      </c>
      <c r="C15" s="448" t="s">
        <v>6536</v>
      </c>
      <c r="D15" s="448" t="s">
        <v>6537</v>
      </c>
      <c r="E15" s="448">
        <v>11</v>
      </c>
      <c r="F15" s="448">
        <v>1</v>
      </c>
      <c r="G15" s="448" t="s">
        <v>6538</v>
      </c>
      <c r="H15" s="452" t="s">
        <v>6541</v>
      </c>
      <c r="I15" s="448" t="s">
        <v>6625</v>
      </c>
      <c r="J15" s="451" t="s">
        <v>6596</v>
      </c>
      <c r="K15" s="452">
        <v>-5</v>
      </c>
      <c r="L15" s="452">
        <v>-5</v>
      </c>
      <c r="M15" s="451" t="s">
        <v>6546</v>
      </c>
      <c r="N15" s="452" t="s">
        <v>6541</v>
      </c>
      <c r="O15" s="452" t="s">
        <v>6541</v>
      </c>
      <c r="P15" s="451" t="s">
        <v>6597</v>
      </c>
      <c r="Q15" s="452">
        <v>-1</v>
      </c>
      <c r="R15" s="452">
        <v>-1</v>
      </c>
      <c r="S15" s="451" t="s">
        <v>6596</v>
      </c>
      <c r="T15" s="452">
        <v>-5</v>
      </c>
      <c r="U15" s="452">
        <v>-5</v>
      </c>
      <c r="V15" s="451" t="s">
        <v>6563</v>
      </c>
      <c r="W15" s="452" t="s">
        <v>6545</v>
      </c>
      <c r="X15" s="452" t="s">
        <v>6545</v>
      </c>
      <c r="Y15" s="451" t="s">
        <v>6595</v>
      </c>
      <c r="Z15" s="452">
        <v>-4</v>
      </c>
      <c r="AA15" s="452">
        <v>-4</v>
      </c>
      <c r="AB15" s="448" t="s">
        <v>6626</v>
      </c>
      <c r="AC15" s="453" t="s">
        <v>6627</v>
      </c>
      <c r="AD15" s="453" t="str">
        <f>""</f>
        <v/>
      </c>
    </row>
    <row r="16" spans="1:30" ht="18" customHeight="1">
      <c r="A16" s="448" t="s">
        <v>6567</v>
      </c>
      <c r="B16" s="448" t="s">
        <v>6535</v>
      </c>
      <c r="C16" s="448" t="s">
        <v>6536</v>
      </c>
      <c r="D16" s="448" t="s">
        <v>6537</v>
      </c>
      <c r="E16" s="448">
        <v>12</v>
      </c>
      <c r="F16" s="448">
        <v>1</v>
      </c>
      <c r="G16" s="448" t="s">
        <v>6538</v>
      </c>
      <c r="H16" s="452" t="s">
        <v>6539</v>
      </c>
      <c r="I16" s="448" t="s">
        <v>6554</v>
      </c>
      <c r="J16" s="451">
        <v>2</v>
      </c>
      <c r="K16" s="452">
        <v>-4</v>
      </c>
      <c r="L16" s="452">
        <v>-4</v>
      </c>
      <c r="M16" s="451">
        <v>14</v>
      </c>
      <c r="N16" s="452" t="s">
        <v>6539</v>
      </c>
      <c r="O16" s="452" t="s">
        <v>6539</v>
      </c>
      <c r="P16" s="451">
        <v>8</v>
      </c>
      <c r="Q16" s="452">
        <v>-1</v>
      </c>
      <c r="R16" s="452">
        <v>-1</v>
      </c>
      <c r="S16" s="451">
        <v>1</v>
      </c>
      <c r="T16" s="452">
        <v>-5</v>
      </c>
      <c r="U16" s="452">
        <v>-5</v>
      </c>
      <c r="V16" s="451" t="s">
        <v>6563</v>
      </c>
      <c r="W16" s="452" t="s">
        <v>6545</v>
      </c>
      <c r="X16" s="452" t="s">
        <v>6545</v>
      </c>
      <c r="Y16" s="451">
        <v>2</v>
      </c>
      <c r="Z16" s="452">
        <v>-4</v>
      </c>
      <c r="AA16" s="452">
        <v>-4</v>
      </c>
      <c r="AB16" s="448" t="s">
        <v>6568</v>
      </c>
      <c r="AC16" s="453" t="s">
        <v>6569</v>
      </c>
      <c r="AD16" s="453" t="s">
        <v>6570</v>
      </c>
    </row>
    <row r="17" spans="1:30" ht="18" customHeight="1">
      <c r="A17" s="448" t="s">
        <v>6585</v>
      </c>
      <c r="B17" s="448" t="s">
        <v>6535</v>
      </c>
      <c r="C17" s="448" t="s">
        <v>6536</v>
      </c>
      <c r="D17" s="448" t="s">
        <v>6537</v>
      </c>
      <c r="E17" s="448">
        <v>13</v>
      </c>
      <c r="F17" s="448">
        <v>1</v>
      </c>
      <c r="G17" s="448" t="s">
        <v>6538</v>
      </c>
      <c r="H17" s="452" t="s">
        <v>6551</v>
      </c>
      <c r="I17" s="448" t="s">
        <v>3218</v>
      </c>
      <c r="J17" s="451">
        <v>3</v>
      </c>
      <c r="K17" s="452">
        <v>-4</v>
      </c>
      <c r="L17" s="452">
        <v>-4</v>
      </c>
      <c r="M17" s="451">
        <v>16</v>
      </c>
      <c r="N17" s="452" t="s">
        <v>6551</v>
      </c>
      <c r="O17" s="452" t="s">
        <v>6551</v>
      </c>
      <c r="P17" s="451">
        <v>8</v>
      </c>
      <c r="Q17" s="452">
        <v>-1</v>
      </c>
      <c r="R17" s="452">
        <v>-1</v>
      </c>
      <c r="S17" s="451">
        <v>2</v>
      </c>
      <c r="T17" s="452">
        <v>-4</v>
      </c>
      <c r="U17" s="452">
        <v>-4</v>
      </c>
      <c r="V17" s="451" t="s">
        <v>6546</v>
      </c>
      <c r="W17" s="452" t="s">
        <v>6541</v>
      </c>
      <c r="X17" s="452" t="s">
        <v>6541</v>
      </c>
      <c r="Y17" s="451">
        <v>3</v>
      </c>
      <c r="Z17" s="452">
        <v>-4</v>
      </c>
      <c r="AA17" s="452">
        <v>-4</v>
      </c>
      <c r="AB17" s="448" t="s">
        <v>6628</v>
      </c>
      <c r="AC17" s="453" t="s">
        <v>6629</v>
      </c>
      <c r="AD17" s="453" t="s">
        <v>6630</v>
      </c>
    </row>
    <row r="18" spans="1:30" ht="18" customHeight="1">
      <c r="A18" s="448" t="s">
        <v>6571</v>
      </c>
      <c r="B18" s="448" t="s">
        <v>6535</v>
      </c>
      <c r="C18" s="448" t="s">
        <v>6572</v>
      </c>
      <c r="D18" s="448" t="s">
        <v>345</v>
      </c>
      <c r="E18" s="448">
        <v>13</v>
      </c>
      <c r="F18" s="448">
        <v>10</v>
      </c>
      <c r="G18" s="448" t="s">
        <v>6538</v>
      </c>
      <c r="H18" s="452" t="s">
        <v>6551</v>
      </c>
      <c r="I18" s="448" t="s">
        <v>6573</v>
      </c>
      <c r="J18" s="451">
        <v>6</v>
      </c>
      <c r="K18" s="452">
        <v>-2</v>
      </c>
      <c r="L18" s="452">
        <v>-2</v>
      </c>
      <c r="M18" s="451">
        <v>17</v>
      </c>
      <c r="N18" s="452" t="s">
        <v>6551</v>
      </c>
      <c r="O18" s="452" t="s">
        <v>6551</v>
      </c>
      <c r="P18" s="451">
        <v>13</v>
      </c>
      <c r="Q18" s="452" t="s">
        <v>6541</v>
      </c>
      <c r="R18" s="452" t="s">
        <v>6541</v>
      </c>
      <c r="S18" s="451">
        <v>11</v>
      </c>
      <c r="T18" s="452" t="s">
        <v>6545</v>
      </c>
      <c r="U18" s="452" t="s">
        <v>6545</v>
      </c>
      <c r="V18" s="451">
        <v>12</v>
      </c>
      <c r="W18" s="452" t="s">
        <v>6541</v>
      </c>
      <c r="X18" s="452" t="s">
        <v>6541</v>
      </c>
      <c r="Y18" s="451">
        <v>14</v>
      </c>
      <c r="Z18" s="452" t="s">
        <v>6539</v>
      </c>
      <c r="AA18" s="452" t="s">
        <v>6539</v>
      </c>
      <c r="AB18" s="448" t="s">
        <v>6633</v>
      </c>
      <c r="AC18" s="453" t="s">
        <v>6638</v>
      </c>
      <c r="AD18" s="453" t="s">
        <v>6634</v>
      </c>
    </row>
    <row r="19" spans="1:30" ht="18" customHeight="1">
      <c r="A19" s="448" t="s">
        <v>6574</v>
      </c>
      <c r="B19" s="448" t="s">
        <v>6535</v>
      </c>
      <c r="C19" s="448" t="s">
        <v>6575</v>
      </c>
      <c r="D19" s="448" t="s">
        <v>336</v>
      </c>
      <c r="E19" s="448">
        <v>13</v>
      </c>
      <c r="F19" s="448">
        <v>7</v>
      </c>
      <c r="G19" s="448" t="s">
        <v>6538</v>
      </c>
      <c r="H19" s="452" t="s">
        <v>6539</v>
      </c>
      <c r="I19" s="448" t="s">
        <v>6576</v>
      </c>
      <c r="J19" s="451">
        <v>6</v>
      </c>
      <c r="K19" s="452">
        <v>-2</v>
      </c>
      <c r="L19" s="452">
        <v>-2</v>
      </c>
      <c r="M19" s="451">
        <v>15</v>
      </c>
      <c r="N19" s="452" t="s">
        <v>6539</v>
      </c>
      <c r="O19" s="452" t="s">
        <v>6539</v>
      </c>
      <c r="P19" s="451">
        <v>13</v>
      </c>
      <c r="Q19" s="452" t="s">
        <v>6541</v>
      </c>
      <c r="R19" s="452" t="s">
        <v>6541</v>
      </c>
      <c r="S19" s="451" t="s">
        <v>6563</v>
      </c>
      <c r="T19" s="452" t="s">
        <v>6545</v>
      </c>
      <c r="U19" s="452" t="s">
        <v>6545</v>
      </c>
      <c r="V19" s="451">
        <v>12</v>
      </c>
      <c r="W19" s="452" t="s">
        <v>6541</v>
      </c>
      <c r="X19" s="452" t="s">
        <v>6541</v>
      </c>
      <c r="Y19" s="451" t="s">
        <v>6563</v>
      </c>
      <c r="Z19" s="452" t="s">
        <v>6545</v>
      </c>
      <c r="AA19" s="452" t="s">
        <v>6545</v>
      </c>
      <c r="AB19" s="448" t="s">
        <v>6641</v>
      </c>
      <c r="AC19" s="453" t="s">
        <v>6642</v>
      </c>
      <c r="AD19" s="453" t="s">
        <v>6643</v>
      </c>
    </row>
    <row r="20" spans="1:30" ht="18" customHeight="1">
      <c r="A20" s="448" t="s">
        <v>6586</v>
      </c>
      <c r="B20" s="448" t="s">
        <v>6535</v>
      </c>
      <c r="C20" s="448" t="s">
        <v>6572</v>
      </c>
      <c r="D20" s="448" t="s">
        <v>347</v>
      </c>
      <c r="E20" s="448">
        <v>13</v>
      </c>
      <c r="F20" s="448">
        <v>7</v>
      </c>
      <c r="G20" s="448" t="s">
        <v>6538</v>
      </c>
      <c r="H20" s="452" t="s">
        <v>6551</v>
      </c>
      <c r="I20" s="448" t="s">
        <v>6577</v>
      </c>
      <c r="J20" s="451">
        <v>5</v>
      </c>
      <c r="K20" s="452">
        <v>-3</v>
      </c>
      <c r="L20" s="452">
        <v>-3</v>
      </c>
      <c r="M20" s="451">
        <v>17</v>
      </c>
      <c r="N20" s="452" t="s">
        <v>6551</v>
      </c>
      <c r="O20" s="452" t="s">
        <v>6551</v>
      </c>
      <c r="P20" s="451" t="s">
        <v>6563</v>
      </c>
      <c r="Q20" s="452" t="s">
        <v>6545</v>
      </c>
      <c r="R20" s="452" t="s">
        <v>6545</v>
      </c>
      <c r="S20" s="451">
        <v>7</v>
      </c>
      <c r="T20" s="452">
        <v>-2</v>
      </c>
      <c r="U20" s="452">
        <v>-2</v>
      </c>
      <c r="V20" s="451" t="s">
        <v>6563</v>
      </c>
      <c r="W20" s="452" t="s">
        <v>6545</v>
      </c>
      <c r="X20" s="452" t="s">
        <v>6545</v>
      </c>
      <c r="Y20" s="451" t="s">
        <v>6563</v>
      </c>
      <c r="Z20" s="452" t="s">
        <v>6545</v>
      </c>
      <c r="AA20" s="452" t="s">
        <v>6545</v>
      </c>
      <c r="AB20" s="448" t="s">
        <v>6635</v>
      </c>
      <c r="AC20" s="453" t="s">
        <v>6637</v>
      </c>
      <c r="AD20" s="453" t="s">
        <v>6636</v>
      </c>
    </row>
    <row r="21" spans="1:30" ht="18" customHeight="1">
      <c r="A21" s="448" t="s">
        <v>6587</v>
      </c>
      <c r="B21" s="448" t="s">
        <v>6535</v>
      </c>
      <c r="C21" s="448" t="s">
        <v>6646</v>
      </c>
      <c r="D21" s="448" t="s">
        <v>336</v>
      </c>
      <c r="E21" s="448">
        <v>15</v>
      </c>
      <c r="F21" s="448">
        <v>2</v>
      </c>
      <c r="G21" s="448" t="s">
        <v>6538</v>
      </c>
      <c r="H21" s="452" t="s">
        <v>6544</v>
      </c>
      <c r="I21" s="448" t="s">
        <v>6578</v>
      </c>
      <c r="J21" s="451">
        <v>3</v>
      </c>
      <c r="K21" s="452">
        <v>-4</v>
      </c>
      <c r="L21" s="452">
        <v>-4</v>
      </c>
      <c r="M21" s="451">
        <v>18</v>
      </c>
      <c r="N21" s="452" t="s">
        <v>6544</v>
      </c>
      <c r="O21" s="452" t="s">
        <v>6544</v>
      </c>
      <c r="P21" s="451" t="s">
        <v>6563</v>
      </c>
      <c r="Q21" s="452" t="s">
        <v>6545</v>
      </c>
      <c r="R21" s="452" t="s">
        <v>6545</v>
      </c>
      <c r="S21" s="451">
        <v>14</v>
      </c>
      <c r="T21" s="452" t="s">
        <v>6539</v>
      </c>
      <c r="U21" s="452" t="s">
        <v>6539</v>
      </c>
      <c r="V21" s="451">
        <v>13</v>
      </c>
      <c r="W21" s="452" t="s">
        <v>6541</v>
      </c>
      <c r="X21" s="452" t="s">
        <v>6541</v>
      </c>
      <c r="Y21" s="451">
        <v>11</v>
      </c>
      <c r="Z21" s="452" t="s">
        <v>6545</v>
      </c>
      <c r="AA21" s="452" t="s">
        <v>6545</v>
      </c>
      <c r="AB21" s="448" t="s">
        <v>6639</v>
      </c>
      <c r="AC21" s="453" t="str">
        <f>""</f>
        <v/>
      </c>
      <c r="AD21" s="453" t="s">
        <v>6640</v>
      </c>
    </row>
  </sheetData>
  <sheetProtection formatColumns="0" formatRows="0" insertColumns="0" insertRows="0" insertHyperlinks="0" deleteColumns="0" deleteRows="0" sort="0" autoFilter="0" pivotTables="0"/>
  <phoneticPr fontId="4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39997558519241921"/>
  </sheetPr>
  <dimension ref="A1:BR82"/>
  <sheetViews>
    <sheetView zoomScale="80" zoomScaleNormal="80" workbookViewId="0">
      <selection activeCell="AV6" sqref="AV6:AZ6"/>
    </sheetView>
  </sheetViews>
  <sheetFormatPr defaultColWidth="3.33203125" defaultRowHeight="16.95" customHeight="1"/>
  <cols>
    <col min="1" max="16384" width="3.33203125" style="7"/>
  </cols>
  <sheetData>
    <row r="1" spans="1:70" ht="16.95" customHeight="1">
      <c r="A1" s="823" t="s">
        <v>1982</v>
      </c>
      <c r="B1" s="823"/>
      <c r="C1" s="823"/>
      <c r="D1" s="823"/>
      <c r="E1" s="823"/>
      <c r="F1" s="823"/>
      <c r="G1" s="823"/>
      <c r="H1" s="823"/>
      <c r="I1" s="823"/>
      <c r="J1" s="823"/>
      <c r="K1" s="823"/>
      <c r="L1" s="823"/>
      <c r="M1" s="823"/>
      <c r="N1" s="823"/>
      <c r="O1" s="823"/>
      <c r="P1" s="823"/>
      <c r="Q1" s="823"/>
      <c r="R1" s="823"/>
      <c r="S1" s="823"/>
      <c r="T1" s="823"/>
      <c r="U1" s="823"/>
      <c r="V1" s="823"/>
      <c r="W1" s="823"/>
      <c r="X1" s="823"/>
      <c r="Y1" s="823"/>
      <c r="Z1" s="823"/>
      <c r="AA1" s="823"/>
      <c r="AB1" s="823"/>
      <c r="AC1" s="823"/>
      <c r="AD1" s="823"/>
      <c r="AE1" s="823"/>
      <c r="AF1" s="823"/>
      <c r="AG1" s="823"/>
      <c r="AH1" s="823"/>
      <c r="AI1" s="823"/>
      <c r="AJ1" s="823"/>
      <c r="AK1" s="823"/>
      <c r="AL1" s="823"/>
      <c r="AM1" s="823"/>
      <c r="AN1" s="823"/>
      <c r="AO1" s="823"/>
      <c r="AP1" s="823"/>
      <c r="AQ1" s="823"/>
      <c r="AR1" s="823"/>
      <c r="AS1" s="823"/>
      <c r="AT1" s="823"/>
      <c r="AU1" s="823"/>
      <c r="AV1" s="823"/>
      <c r="AW1" s="823"/>
      <c r="AX1" s="823"/>
      <c r="AY1" s="823"/>
      <c r="AZ1" s="823"/>
      <c r="BA1" s="823"/>
      <c r="BB1" s="823"/>
      <c r="BC1" s="823"/>
      <c r="BD1" s="823"/>
      <c r="BE1" s="823"/>
      <c r="BF1" s="823"/>
      <c r="BG1" s="823"/>
      <c r="BH1" s="823"/>
      <c r="BI1" s="823"/>
      <c r="BJ1" s="823"/>
      <c r="BK1" s="823"/>
      <c r="BL1" s="823"/>
      <c r="BM1" s="823"/>
      <c r="BN1" s="823"/>
      <c r="BO1" s="823"/>
      <c r="BP1" s="823"/>
      <c r="BQ1" s="823"/>
      <c r="BR1" s="823"/>
    </row>
    <row r="2" spans="1:70" ht="7.95" customHeight="1"/>
    <row r="3" spans="1:70" ht="16.95" customHeight="1">
      <c r="B3" s="824" t="s">
        <v>3574</v>
      </c>
      <c r="C3" s="824"/>
      <c r="D3" s="824"/>
      <c r="E3" s="824"/>
      <c r="F3" s="824"/>
      <c r="G3" s="824"/>
      <c r="H3" s="824"/>
      <c r="I3" s="824"/>
      <c r="J3" s="824"/>
      <c r="K3" s="824"/>
      <c r="L3" s="824"/>
      <c r="M3" s="824"/>
      <c r="N3" s="824"/>
      <c r="O3" s="824"/>
      <c r="P3" s="824"/>
      <c r="Q3" s="824"/>
      <c r="R3" s="824"/>
      <c r="S3" s="824"/>
      <c r="T3" s="824"/>
      <c r="U3" s="824"/>
      <c r="V3" s="840">
        <f>IF(SUM(数据表!W22:W42)&gt;0,SUM(数据表!W22:W42)+5,0)</f>
        <v>0</v>
      </c>
      <c r="W3" s="840"/>
      <c r="Y3" s="824" t="s">
        <v>112</v>
      </c>
      <c r="Z3" s="824"/>
      <c r="AA3" s="824"/>
      <c r="AB3" s="824"/>
      <c r="AC3" s="824"/>
      <c r="AD3" s="824"/>
      <c r="AE3" s="824"/>
      <c r="AF3" s="824"/>
      <c r="AG3" s="824"/>
      <c r="AH3" s="824"/>
      <c r="AI3" s="824"/>
      <c r="AJ3" s="824"/>
      <c r="AK3" s="824"/>
      <c r="AL3" s="824"/>
      <c r="AM3" s="824"/>
      <c r="AN3" s="824"/>
      <c r="AO3" s="824"/>
      <c r="AP3" s="824"/>
      <c r="AQ3" s="824"/>
      <c r="AR3" s="824"/>
      <c r="AS3" s="840">
        <f>IF(SUM(数据表!X22:X42)&gt;0,SUM(数据表!X22:X42)+5,0)</f>
        <v>0</v>
      </c>
      <c r="AT3" s="840"/>
      <c r="AV3" s="832" t="s">
        <v>6078</v>
      </c>
      <c r="AW3" s="833"/>
      <c r="AX3" s="833"/>
      <c r="AY3" s="833"/>
      <c r="AZ3" s="833"/>
      <c r="BA3" s="833"/>
      <c r="BB3" s="833"/>
      <c r="BC3" s="833"/>
      <c r="BD3" s="833"/>
      <c r="BE3" s="833"/>
      <c r="BF3" s="833"/>
      <c r="BG3" s="833"/>
      <c r="BH3" s="833"/>
      <c r="BI3" s="833"/>
      <c r="BJ3" s="833"/>
      <c r="BK3" s="833"/>
      <c r="BL3" s="833"/>
      <c r="BM3" s="833"/>
      <c r="BN3" s="833"/>
      <c r="BO3" s="833"/>
      <c r="BP3" s="833"/>
      <c r="BQ3" s="834"/>
    </row>
    <row r="4" spans="1:70" ht="16.95" customHeight="1">
      <c r="B4" s="826" t="s">
        <v>76</v>
      </c>
      <c r="C4" s="826"/>
      <c r="D4" s="826"/>
      <c r="E4" s="826"/>
      <c r="F4" s="826"/>
      <c r="G4" s="826" t="s">
        <v>132</v>
      </c>
      <c r="H4" s="826"/>
      <c r="I4" s="826"/>
      <c r="J4" s="826"/>
      <c r="K4" s="826"/>
      <c r="L4" s="826"/>
      <c r="M4" s="826"/>
      <c r="N4" s="826"/>
      <c r="O4" s="826"/>
      <c r="P4" s="826"/>
      <c r="Q4" s="826"/>
      <c r="R4" s="826"/>
      <c r="S4" s="826" t="s">
        <v>1983</v>
      </c>
      <c r="T4" s="826"/>
      <c r="U4" s="13"/>
      <c r="V4" s="826" t="s">
        <v>1984</v>
      </c>
      <c r="W4" s="826"/>
      <c r="X4" s="13"/>
      <c r="Y4" s="826" t="s">
        <v>76</v>
      </c>
      <c r="Z4" s="826"/>
      <c r="AA4" s="826"/>
      <c r="AB4" s="826"/>
      <c r="AC4" s="826"/>
      <c r="AD4" s="826" t="s">
        <v>132</v>
      </c>
      <c r="AE4" s="826"/>
      <c r="AF4" s="826"/>
      <c r="AG4" s="826"/>
      <c r="AH4" s="826"/>
      <c r="AI4" s="826"/>
      <c r="AJ4" s="826"/>
      <c r="AK4" s="826"/>
      <c r="AL4" s="826"/>
      <c r="AM4" s="826"/>
      <c r="AN4" s="826"/>
      <c r="AO4" s="826"/>
      <c r="AP4" s="826" t="s">
        <v>1983</v>
      </c>
      <c r="AQ4" s="826"/>
      <c r="AR4" s="13"/>
      <c r="AS4" s="826" t="s">
        <v>1984</v>
      </c>
      <c r="AT4" s="826"/>
      <c r="AV4" s="827" t="s">
        <v>6026</v>
      </c>
      <c r="AW4" s="828"/>
      <c r="AX4" s="828"/>
      <c r="AY4" s="828"/>
      <c r="AZ4" s="828"/>
      <c r="BA4" s="828"/>
      <c r="BB4" s="828"/>
      <c r="BC4" s="828"/>
      <c r="BD4" s="828"/>
      <c r="BE4" s="828"/>
      <c r="BF4" s="828"/>
      <c r="BG4" s="829">
        <f>ROUND(SUM(BA6:BF51)-SUM(BL6:BQ51),2)</f>
        <v>0</v>
      </c>
      <c r="BH4" s="829"/>
      <c r="BI4" s="829"/>
      <c r="BJ4" s="829"/>
      <c r="BK4" s="829"/>
      <c r="BL4" s="829"/>
      <c r="BM4" s="829"/>
      <c r="BN4" s="829"/>
      <c r="BO4" s="829"/>
      <c r="BP4" s="829"/>
      <c r="BQ4" s="830"/>
    </row>
    <row r="5" spans="1:70" ht="16.95" customHeight="1">
      <c r="B5" s="580"/>
      <c r="C5" s="580"/>
      <c r="D5" s="580"/>
      <c r="E5" s="580"/>
      <c r="F5" s="580"/>
      <c r="G5" s="730"/>
      <c r="H5" s="730"/>
      <c r="I5" s="730"/>
      <c r="J5" s="730"/>
      <c r="K5" s="730"/>
      <c r="L5" s="730"/>
      <c r="M5" s="730"/>
      <c r="N5" s="730"/>
      <c r="O5" s="730"/>
      <c r="P5" s="730"/>
      <c r="Q5" s="730"/>
      <c r="R5" s="730"/>
      <c r="S5" s="546"/>
      <c r="T5" s="546"/>
      <c r="U5" s="13" t="s">
        <v>1985</v>
      </c>
      <c r="V5" s="546"/>
      <c r="W5" s="546"/>
      <c r="Y5" s="580"/>
      <c r="Z5" s="580"/>
      <c r="AA5" s="580"/>
      <c r="AB5" s="580"/>
      <c r="AC5" s="580"/>
      <c r="AD5" s="730"/>
      <c r="AE5" s="730"/>
      <c r="AF5" s="730"/>
      <c r="AG5" s="730"/>
      <c r="AH5" s="730"/>
      <c r="AI5" s="730"/>
      <c r="AJ5" s="730"/>
      <c r="AK5" s="730"/>
      <c r="AL5" s="730"/>
      <c r="AM5" s="730"/>
      <c r="AN5" s="730"/>
      <c r="AO5" s="730"/>
      <c r="AP5" s="546"/>
      <c r="AQ5" s="546"/>
      <c r="AR5" s="13" t="s">
        <v>1985</v>
      </c>
      <c r="AS5" s="546"/>
      <c r="AT5" s="546"/>
      <c r="AV5" s="835" t="s">
        <v>6079</v>
      </c>
      <c r="AW5" s="836"/>
      <c r="AX5" s="836"/>
      <c r="AY5" s="836"/>
      <c r="AZ5" s="836"/>
      <c r="BA5" s="837" t="s">
        <v>6080</v>
      </c>
      <c r="BB5" s="837"/>
      <c r="BC5" s="837"/>
      <c r="BD5" s="837"/>
      <c r="BE5" s="837"/>
      <c r="BF5" s="837"/>
      <c r="BG5" s="837" t="s">
        <v>6079</v>
      </c>
      <c r="BH5" s="837"/>
      <c r="BI5" s="837"/>
      <c r="BJ5" s="837"/>
      <c r="BK5" s="837"/>
      <c r="BL5" s="837" t="s">
        <v>6080</v>
      </c>
      <c r="BM5" s="837"/>
      <c r="BN5" s="837"/>
      <c r="BO5" s="837"/>
      <c r="BP5" s="837"/>
      <c r="BQ5" s="838"/>
    </row>
    <row r="6" spans="1:70" ht="16.95" customHeight="1">
      <c r="B6" s="612"/>
      <c r="C6" s="612"/>
      <c r="D6" s="612"/>
      <c r="E6" s="612"/>
      <c r="F6" s="612"/>
      <c r="G6" s="732"/>
      <c r="H6" s="732"/>
      <c r="I6" s="732"/>
      <c r="J6" s="732"/>
      <c r="K6" s="732"/>
      <c r="L6" s="732"/>
      <c r="M6" s="732"/>
      <c r="N6" s="732"/>
      <c r="O6" s="732"/>
      <c r="P6" s="732"/>
      <c r="Q6" s="732"/>
      <c r="R6" s="732"/>
      <c r="S6" s="609"/>
      <c r="T6" s="609"/>
      <c r="U6" s="13" t="s">
        <v>1985</v>
      </c>
      <c r="V6" s="609"/>
      <c r="W6" s="609"/>
      <c r="Y6" s="612"/>
      <c r="Z6" s="612"/>
      <c r="AA6" s="612"/>
      <c r="AB6" s="612"/>
      <c r="AC6" s="612"/>
      <c r="AD6" s="732"/>
      <c r="AE6" s="732"/>
      <c r="AF6" s="732"/>
      <c r="AG6" s="732"/>
      <c r="AH6" s="732"/>
      <c r="AI6" s="732"/>
      <c r="AJ6" s="732"/>
      <c r="AK6" s="732"/>
      <c r="AL6" s="732"/>
      <c r="AM6" s="732"/>
      <c r="AN6" s="732"/>
      <c r="AO6" s="732"/>
      <c r="AP6" s="609"/>
      <c r="AQ6" s="609"/>
      <c r="AR6" s="13" t="s">
        <v>1985</v>
      </c>
      <c r="AS6" s="609"/>
      <c r="AT6" s="609"/>
      <c r="AV6" s="815"/>
      <c r="AW6" s="816"/>
      <c r="AX6" s="816"/>
      <c r="AY6" s="816"/>
      <c r="AZ6" s="817"/>
      <c r="BA6" s="831"/>
      <c r="BB6" s="831"/>
      <c r="BC6" s="831"/>
      <c r="BD6" s="831"/>
      <c r="BE6" s="831"/>
      <c r="BF6" s="831"/>
      <c r="BG6" s="809"/>
      <c r="BH6" s="810"/>
      <c r="BI6" s="810"/>
      <c r="BJ6" s="810"/>
      <c r="BK6" s="811"/>
      <c r="BL6" s="812"/>
      <c r="BM6" s="813"/>
      <c r="BN6" s="813"/>
      <c r="BO6" s="813"/>
      <c r="BP6" s="813"/>
      <c r="BQ6" s="814"/>
    </row>
    <row r="7" spans="1:70" ht="16.95" customHeight="1">
      <c r="B7" s="580"/>
      <c r="C7" s="580"/>
      <c r="D7" s="580"/>
      <c r="E7" s="580"/>
      <c r="F7" s="580"/>
      <c r="G7" s="730"/>
      <c r="H7" s="730"/>
      <c r="I7" s="730"/>
      <c r="J7" s="730"/>
      <c r="K7" s="730"/>
      <c r="L7" s="730"/>
      <c r="M7" s="730"/>
      <c r="N7" s="730"/>
      <c r="O7" s="730"/>
      <c r="P7" s="730"/>
      <c r="Q7" s="730"/>
      <c r="R7" s="730"/>
      <c r="S7" s="546"/>
      <c r="T7" s="546"/>
      <c r="U7" s="13" t="s">
        <v>1985</v>
      </c>
      <c r="V7" s="546"/>
      <c r="W7" s="546"/>
      <c r="Y7" s="580"/>
      <c r="Z7" s="580"/>
      <c r="AA7" s="580"/>
      <c r="AB7" s="580"/>
      <c r="AC7" s="580"/>
      <c r="AD7" s="730"/>
      <c r="AE7" s="730"/>
      <c r="AF7" s="730"/>
      <c r="AG7" s="730"/>
      <c r="AH7" s="730"/>
      <c r="AI7" s="730"/>
      <c r="AJ7" s="730"/>
      <c r="AK7" s="730"/>
      <c r="AL7" s="730"/>
      <c r="AM7" s="730"/>
      <c r="AN7" s="730"/>
      <c r="AO7" s="730"/>
      <c r="AP7" s="546"/>
      <c r="AQ7" s="546"/>
      <c r="AR7" s="13" t="s">
        <v>1985</v>
      </c>
      <c r="AS7" s="546"/>
      <c r="AT7" s="546"/>
      <c r="AV7" s="815"/>
      <c r="AW7" s="816"/>
      <c r="AX7" s="816"/>
      <c r="AY7" s="816"/>
      <c r="AZ7" s="817"/>
      <c r="BA7" s="831"/>
      <c r="BB7" s="831"/>
      <c r="BC7" s="831"/>
      <c r="BD7" s="831"/>
      <c r="BE7" s="831"/>
      <c r="BF7" s="831"/>
      <c r="BG7" s="809"/>
      <c r="BH7" s="810"/>
      <c r="BI7" s="810"/>
      <c r="BJ7" s="810"/>
      <c r="BK7" s="811"/>
      <c r="BL7" s="812"/>
      <c r="BM7" s="813"/>
      <c r="BN7" s="813"/>
      <c r="BO7" s="813"/>
      <c r="BP7" s="813"/>
      <c r="BQ7" s="814"/>
    </row>
    <row r="8" spans="1:70" ht="16.95" customHeight="1">
      <c r="B8" s="612"/>
      <c r="C8" s="612"/>
      <c r="D8" s="612"/>
      <c r="E8" s="612"/>
      <c r="F8" s="612"/>
      <c r="G8" s="732"/>
      <c r="H8" s="732"/>
      <c r="I8" s="732"/>
      <c r="J8" s="732"/>
      <c r="K8" s="732"/>
      <c r="L8" s="732"/>
      <c r="M8" s="732"/>
      <c r="N8" s="732"/>
      <c r="O8" s="732"/>
      <c r="P8" s="732"/>
      <c r="Q8" s="732"/>
      <c r="R8" s="732"/>
      <c r="S8" s="609"/>
      <c r="T8" s="609"/>
      <c r="U8" s="13" t="s">
        <v>1985</v>
      </c>
      <c r="V8" s="609"/>
      <c r="W8" s="609"/>
      <c r="Y8" s="612"/>
      <c r="Z8" s="612"/>
      <c r="AA8" s="612"/>
      <c r="AB8" s="612"/>
      <c r="AC8" s="612"/>
      <c r="AD8" s="732"/>
      <c r="AE8" s="732"/>
      <c r="AF8" s="732"/>
      <c r="AG8" s="732"/>
      <c r="AH8" s="732"/>
      <c r="AI8" s="732"/>
      <c r="AJ8" s="732"/>
      <c r="AK8" s="732"/>
      <c r="AL8" s="732"/>
      <c r="AM8" s="732"/>
      <c r="AN8" s="732"/>
      <c r="AO8" s="732"/>
      <c r="AP8" s="609"/>
      <c r="AQ8" s="609"/>
      <c r="AR8" s="13" t="s">
        <v>1985</v>
      </c>
      <c r="AS8" s="609"/>
      <c r="AT8" s="609"/>
      <c r="AV8" s="815"/>
      <c r="AW8" s="816"/>
      <c r="AX8" s="816"/>
      <c r="AY8" s="816"/>
      <c r="AZ8" s="817"/>
      <c r="BA8" s="806"/>
      <c r="BB8" s="807"/>
      <c r="BC8" s="807"/>
      <c r="BD8" s="807"/>
      <c r="BE8" s="807"/>
      <c r="BF8" s="808"/>
      <c r="BG8" s="809"/>
      <c r="BH8" s="810"/>
      <c r="BI8" s="810"/>
      <c r="BJ8" s="810"/>
      <c r="BK8" s="811"/>
      <c r="BL8" s="812"/>
      <c r="BM8" s="813"/>
      <c r="BN8" s="813"/>
      <c r="BO8" s="813"/>
      <c r="BP8" s="813"/>
      <c r="BQ8" s="814"/>
    </row>
    <row r="9" spans="1:70" ht="16.95" customHeight="1">
      <c r="B9" s="580"/>
      <c r="C9" s="580"/>
      <c r="D9" s="580"/>
      <c r="E9" s="580"/>
      <c r="F9" s="580"/>
      <c r="G9" s="730"/>
      <c r="H9" s="730"/>
      <c r="I9" s="730"/>
      <c r="J9" s="730"/>
      <c r="K9" s="730"/>
      <c r="L9" s="730"/>
      <c r="M9" s="730"/>
      <c r="N9" s="730"/>
      <c r="O9" s="730"/>
      <c r="P9" s="730"/>
      <c r="Q9" s="730"/>
      <c r="R9" s="730"/>
      <c r="S9" s="546"/>
      <c r="T9" s="546"/>
      <c r="U9" s="13" t="s">
        <v>1985</v>
      </c>
      <c r="V9" s="546"/>
      <c r="W9" s="546"/>
      <c r="Y9" s="580"/>
      <c r="Z9" s="580"/>
      <c r="AA9" s="580"/>
      <c r="AB9" s="580"/>
      <c r="AC9" s="580"/>
      <c r="AD9" s="730"/>
      <c r="AE9" s="730"/>
      <c r="AF9" s="730"/>
      <c r="AG9" s="730"/>
      <c r="AH9" s="730"/>
      <c r="AI9" s="730"/>
      <c r="AJ9" s="730"/>
      <c r="AK9" s="730"/>
      <c r="AL9" s="730"/>
      <c r="AM9" s="730"/>
      <c r="AN9" s="730"/>
      <c r="AO9" s="730"/>
      <c r="AP9" s="546"/>
      <c r="AQ9" s="546"/>
      <c r="AR9" s="13" t="s">
        <v>1985</v>
      </c>
      <c r="AS9" s="546"/>
      <c r="AT9" s="546"/>
      <c r="AV9" s="815"/>
      <c r="AW9" s="816"/>
      <c r="AX9" s="816"/>
      <c r="AY9" s="816"/>
      <c r="AZ9" s="817"/>
      <c r="BA9" s="806"/>
      <c r="BB9" s="807"/>
      <c r="BC9" s="807"/>
      <c r="BD9" s="807"/>
      <c r="BE9" s="807"/>
      <c r="BF9" s="808"/>
      <c r="BG9" s="809"/>
      <c r="BH9" s="810"/>
      <c r="BI9" s="810"/>
      <c r="BJ9" s="810"/>
      <c r="BK9" s="811"/>
      <c r="BL9" s="812"/>
      <c r="BM9" s="813"/>
      <c r="BN9" s="813"/>
      <c r="BO9" s="813"/>
      <c r="BP9" s="813"/>
      <c r="BQ9" s="814"/>
    </row>
    <row r="10" spans="1:70" ht="16.95" customHeight="1">
      <c r="B10" s="612"/>
      <c r="C10" s="612"/>
      <c r="D10" s="612"/>
      <c r="E10" s="612"/>
      <c r="F10" s="612"/>
      <c r="G10" s="732"/>
      <c r="H10" s="732"/>
      <c r="I10" s="732"/>
      <c r="J10" s="732"/>
      <c r="K10" s="732"/>
      <c r="L10" s="732"/>
      <c r="M10" s="732"/>
      <c r="N10" s="732"/>
      <c r="O10" s="732"/>
      <c r="P10" s="732"/>
      <c r="Q10" s="732"/>
      <c r="R10" s="732"/>
      <c r="S10" s="609"/>
      <c r="T10" s="609"/>
      <c r="U10" s="13" t="s">
        <v>1985</v>
      </c>
      <c r="V10" s="822"/>
      <c r="W10" s="822"/>
      <c r="Y10" s="611"/>
      <c r="Z10" s="611"/>
      <c r="AA10" s="611"/>
      <c r="AB10" s="611"/>
      <c r="AC10" s="611"/>
      <c r="AD10" s="839"/>
      <c r="AE10" s="839"/>
      <c r="AF10" s="839"/>
      <c r="AG10" s="839"/>
      <c r="AH10" s="839"/>
      <c r="AI10" s="839"/>
      <c r="AJ10" s="839"/>
      <c r="AK10" s="839"/>
      <c r="AL10" s="839"/>
      <c r="AM10" s="839"/>
      <c r="AN10" s="839"/>
      <c r="AO10" s="839"/>
      <c r="AP10" s="609"/>
      <c r="AQ10" s="609"/>
      <c r="AR10" s="13" t="s">
        <v>1985</v>
      </c>
      <c r="AS10" s="822"/>
      <c r="AT10" s="822"/>
      <c r="AV10" s="815"/>
      <c r="AW10" s="816"/>
      <c r="AX10" s="816"/>
      <c r="AY10" s="816"/>
      <c r="AZ10" s="817"/>
      <c r="BA10" s="806"/>
      <c r="BB10" s="807"/>
      <c r="BC10" s="807"/>
      <c r="BD10" s="807"/>
      <c r="BE10" s="807"/>
      <c r="BF10" s="808"/>
      <c r="BG10" s="809"/>
      <c r="BH10" s="810"/>
      <c r="BI10" s="810"/>
      <c r="BJ10" s="810"/>
      <c r="BK10" s="811"/>
      <c r="BL10" s="812"/>
      <c r="BM10" s="813"/>
      <c r="BN10" s="813"/>
      <c r="BO10" s="813"/>
      <c r="BP10" s="813"/>
      <c r="BQ10" s="814"/>
    </row>
    <row r="11" spans="1:70" ht="16.95" customHeight="1">
      <c r="B11" s="580"/>
      <c r="C11" s="580"/>
      <c r="D11" s="580"/>
      <c r="E11" s="580"/>
      <c r="F11" s="580"/>
      <c r="G11" s="730"/>
      <c r="H11" s="730"/>
      <c r="I11" s="730"/>
      <c r="J11" s="730"/>
      <c r="K11" s="730"/>
      <c r="L11" s="730"/>
      <c r="M11" s="730"/>
      <c r="N11" s="730"/>
      <c r="O11" s="730"/>
      <c r="P11" s="730"/>
      <c r="Q11" s="730"/>
      <c r="R11" s="730"/>
      <c r="S11" s="546"/>
      <c r="T11" s="546"/>
      <c r="U11" s="13" t="s">
        <v>1985</v>
      </c>
      <c r="V11" s="546"/>
      <c r="W11" s="546"/>
      <c r="Y11" s="580"/>
      <c r="Z11" s="580"/>
      <c r="AA11" s="580"/>
      <c r="AB11" s="580"/>
      <c r="AC11" s="580"/>
      <c r="AD11" s="730"/>
      <c r="AE11" s="730"/>
      <c r="AF11" s="730"/>
      <c r="AG11" s="730"/>
      <c r="AH11" s="730"/>
      <c r="AI11" s="730"/>
      <c r="AJ11" s="730"/>
      <c r="AK11" s="730"/>
      <c r="AL11" s="730"/>
      <c r="AM11" s="730"/>
      <c r="AN11" s="730"/>
      <c r="AO11" s="730"/>
      <c r="AP11" s="546"/>
      <c r="AQ11" s="546"/>
      <c r="AR11" s="13" t="s">
        <v>1985</v>
      </c>
      <c r="AS11" s="546"/>
      <c r="AT11" s="546"/>
      <c r="AV11" s="815"/>
      <c r="AW11" s="816"/>
      <c r="AX11" s="816"/>
      <c r="AY11" s="816"/>
      <c r="AZ11" s="817"/>
      <c r="BA11" s="806"/>
      <c r="BB11" s="807"/>
      <c r="BC11" s="807"/>
      <c r="BD11" s="807"/>
      <c r="BE11" s="807"/>
      <c r="BF11" s="808"/>
      <c r="BG11" s="809"/>
      <c r="BH11" s="810"/>
      <c r="BI11" s="810"/>
      <c r="BJ11" s="810"/>
      <c r="BK11" s="811"/>
      <c r="BL11" s="812"/>
      <c r="BM11" s="813"/>
      <c r="BN11" s="813"/>
      <c r="BO11" s="813"/>
      <c r="BP11" s="813"/>
      <c r="BQ11" s="814"/>
    </row>
    <row r="12" spans="1:70" ht="16.95" customHeight="1">
      <c r="B12" s="612"/>
      <c r="C12" s="612"/>
      <c r="D12" s="612"/>
      <c r="E12" s="612"/>
      <c r="F12" s="612"/>
      <c r="G12" s="732"/>
      <c r="H12" s="732"/>
      <c r="I12" s="732"/>
      <c r="J12" s="732"/>
      <c r="K12" s="732"/>
      <c r="L12" s="732"/>
      <c r="M12" s="732"/>
      <c r="N12" s="732"/>
      <c r="O12" s="732"/>
      <c r="P12" s="732"/>
      <c r="Q12" s="732"/>
      <c r="R12" s="732"/>
      <c r="S12" s="609"/>
      <c r="T12" s="609"/>
      <c r="U12" s="13" t="s">
        <v>1985</v>
      </c>
      <c r="V12" s="609"/>
      <c r="W12" s="609"/>
      <c r="Y12" s="612"/>
      <c r="Z12" s="612"/>
      <c r="AA12" s="612"/>
      <c r="AB12" s="612"/>
      <c r="AC12" s="612"/>
      <c r="AD12" s="732"/>
      <c r="AE12" s="732"/>
      <c r="AF12" s="732"/>
      <c r="AG12" s="732"/>
      <c r="AH12" s="732"/>
      <c r="AI12" s="732"/>
      <c r="AJ12" s="732"/>
      <c r="AK12" s="732"/>
      <c r="AL12" s="732"/>
      <c r="AM12" s="732"/>
      <c r="AN12" s="732"/>
      <c r="AO12" s="732"/>
      <c r="AP12" s="609"/>
      <c r="AQ12" s="609"/>
      <c r="AR12" s="13" t="s">
        <v>1985</v>
      </c>
      <c r="AS12" s="609"/>
      <c r="AT12" s="609"/>
      <c r="AV12" s="815"/>
      <c r="AW12" s="816"/>
      <c r="AX12" s="816"/>
      <c r="AY12" s="816"/>
      <c r="AZ12" s="817"/>
      <c r="BA12" s="806"/>
      <c r="BB12" s="807"/>
      <c r="BC12" s="807"/>
      <c r="BD12" s="807"/>
      <c r="BE12" s="807"/>
      <c r="BF12" s="808"/>
      <c r="BG12" s="809"/>
      <c r="BH12" s="810"/>
      <c r="BI12" s="810"/>
      <c r="BJ12" s="810"/>
      <c r="BK12" s="811"/>
      <c r="BL12" s="812"/>
      <c r="BM12" s="813"/>
      <c r="BN12" s="813"/>
      <c r="BO12" s="813"/>
      <c r="BP12" s="813"/>
      <c r="BQ12" s="814"/>
    </row>
    <row r="13" spans="1:70" ht="16.95" customHeight="1">
      <c r="B13" s="580"/>
      <c r="C13" s="580"/>
      <c r="D13" s="580"/>
      <c r="E13" s="580"/>
      <c r="F13" s="580"/>
      <c r="G13" s="730"/>
      <c r="H13" s="730"/>
      <c r="I13" s="730"/>
      <c r="J13" s="730"/>
      <c r="K13" s="730"/>
      <c r="L13" s="730"/>
      <c r="M13" s="730"/>
      <c r="N13" s="730"/>
      <c r="O13" s="730"/>
      <c r="P13" s="730"/>
      <c r="Q13" s="730"/>
      <c r="R13" s="730"/>
      <c r="S13" s="546"/>
      <c r="T13" s="546"/>
      <c r="U13" s="13" t="s">
        <v>1985</v>
      </c>
      <c r="V13" s="546"/>
      <c r="W13" s="546"/>
      <c r="Y13" s="580"/>
      <c r="Z13" s="580"/>
      <c r="AA13" s="580"/>
      <c r="AB13" s="580"/>
      <c r="AC13" s="580"/>
      <c r="AD13" s="730"/>
      <c r="AE13" s="730"/>
      <c r="AF13" s="730"/>
      <c r="AG13" s="730"/>
      <c r="AH13" s="730"/>
      <c r="AI13" s="730"/>
      <c r="AJ13" s="730"/>
      <c r="AK13" s="730"/>
      <c r="AL13" s="730"/>
      <c r="AM13" s="730"/>
      <c r="AN13" s="730"/>
      <c r="AO13" s="730"/>
      <c r="AP13" s="546"/>
      <c r="AQ13" s="546"/>
      <c r="AR13" s="13" t="s">
        <v>1985</v>
      </c>
      <c r="AS13" s="546"/>
      <c r="AT13" s="546"/>
      <c r="AV13" s="815"/>
      <c r="AW13" s="816"/>
      <c r="AX13" s="816"/>
      <c r="AY13" s="816"/>
      <c r="AZ13" s="817"/>
      <c r="BA13" s="806"/>
      <c r="BB13" s="807"/>
      <c r="BC13" s="807"/>
      <c r="BD13" s="807"/>
      <c r="BE13" s="807"/>
      <c r="BF13" s="808"/>
      <c r="BG13" s="809"/>
      <c r="BH13" s="810"/>
      <c r="BI13" s="810"/>
      <c r="BJ13" s="810"/>
      <c r="BK13" s="811"/>
      <c r="BL13" s="812"/>
      <c r="BM13" s="813"/>
      <c r="BN13" s="813"/>
      <c r="BO13" s="813"/>
      <c r="BP13" s="813"/>
      <c r="BQ13" s="814"/>
    </row>
    <row r="14" spans="1:70" ht="16.95" customHeight="1">
      <c r="B14" s="612"/>
      <c r="C14" s="612"/>
      <c r="D14" s="612"/>
      <c r="E14" s="612"/>
      <c r="F14" s="612"/>
      <c r="G14" s="732"/>
      <c r="H14" s="732"/>
      <c r="I14" s="732"/>
      <c r="J14" s="732"/>
      <c r="K14" s="732"/>
      <c r="L14" s="732"/>
      <c r="M14" s="732"/>
      <c r="N14" s="732"/>
      <c r="O14" s="732"/>
      <c r="P14" s="732"/>
      <c r="Q14" s="732"/>
      <c r="R14" s="732"/>
      <c r="S14" s="609"/>
      <c r="T14" s="609"/>
      <c r="U14" s="13" t="s">
        <v>1985</v>
      </c>
      <c r="V14" s="609"/>
      <c r="W14" s="609"/>
      <c r="Y14" s="612"/>
      <c r="Z14" s="612"/>
      <c r="AA14" s="612"/>
      <c r="AB14" s="612"/>
      <c r="AC14" s="612"/>
      <c r="AD14" s="732"/>
      <c r="AE14" s="732"/>
      <c r="AF14" s="732"/>
      <c r="AG14" s="732"/>
      <c r="AH14" s="732"/>
      <c r="AI14" s="732"/>
      <c r="AJ14" s="732"/>
      <c r="AK14" s="732"/>
      <c r="AL14" s="732"/>
      <c r="AM14" s="732"/>
      <c r="AN14" s="732"/>
      <c r="AO14" s="732"/>
      <c r="AP14" s="609"/>
      <c r="AQ14" s="609"/>
      <c r="AR14" s="13" t="s">
        <v>1985</v>
      </c>
      <c r="AS14" s="609"/>
      <c r="AT14" s="609"/>
      <c r="AV14" s="815"/>
      <c r="AW14" s="816"/>
      <c r="AX14" s="816"/>
      <c r="AY14" s="816"/>
      <c r="AZ14" s="817"/>
      <c r="BA14" s="806"/>
      <c r="BB14" s="807"/>
      <c r="BC14" s="807"/>
      <c r="BD14" s="807"/>
      <c r="BE14" s="807"/>
      <c r="BF14" s="808"/>
      <c r="BG14" s="809"/>
      <c r="BH14" s="810"/>
      <c r="BI14" s="810"/>
      <c r="BJ14" s="810"/>
      <c r="BK14" s="811"/>
      <c r="BL14" s="812"/>
      <c r="BM14" s="813"/>
      <c r="BN14" s="813"/>
      <c r="BO14" s="813"/>
      <c r="BP14" s="813"/>
      <c r="BQ14" s="814"/>
    </row>
    <row r="15" spans="1:70" ht="16.95" customHeight="1">
      <c r="B15" s="5"/>
      <c r="C15" s="5"/>
      <c r="D15" s="5"/>
      <c r="E15" s="5"/>
      <c r="F15" s="5"/>
      <c r="G15" s="5"/>
      <c r="H15" s="5"/>
      <c r="I15" s="5"/>
      <c r="J15" s="5"/>
      <c r="K15" s="5"/>
      <c r="L15" s="5"/>
      <c r="M15" s="5"/>
      <c r="N15" s="5"/>
      <c r="O15" s="5"/>
      <c r="P15" s="5"/>
      <c r="Q15" s="5"/>
      <c r="R15" s="5"/>
      <c r="S15" s="14"/>
      <c r="T15" s="14"/>
      <c r="V15" s="14"/>
      <c r="W15" s="14"/>
      <c r="Y15" s="5"/>
      <c r="Z15" s="5"/>
      <c r="AA15" s="5"/>
      <c r="AB15" s="5"/>
      <c r="AC15" s="5"/>
      <c r="AD15" s="274"/>
      <c r="AE15" s="274"/>
      <c r="AF15" s="274"/>
      <c r="AG15" s="274"/>
      <c r="AH15" s="274"/>
      <c r="AI15" s="274"/>
      <c r="AJ15" s="274"/>
      <c r="AK15" s="274"/>
      <c r="AL15" s="274"/>
      <c r="AM15" s="274"/>
      <c r="AN15" s="274"/>
      <c r="AO15" s="274"/>
      <c r="AP15" s="14"/>
      <c r="AQ15" s="14"/>
      <c r="AS15" s="14"/>
      <c r="AT15" s="14"/>
      <c r="AV15" s="815"/>
      <c r="AW15" s="816"/>
      <c r="AX15" s="816"/>
      <c r="AY15" s="816"/>
      <c r="AZ15" s="817"/>
      <c r="BA15" s="806"/>
      <c r="BB15" s="807"/>
      <c r="BC15" s="807"/>
      <c r="BD15" s="807"/>
      <c r="BE15" s="807"/>
      <c r="BF15" s="808"/>
      <c r="BG15" s="809"/>
      <c r="BH15" s="810"/>
      <c r="BI15" s="810"/>
      <c r="BJ15" s="810"/>
      <c r="BK15" s="811"/>
      <c r="BL15" s="812"/>
      <c r="BM15" s="813"/>
      <c r="BN15" s="813"/>
      <c r="BO15" s="813"/>
      <c r="BP15" s="813"/>
      <c r="BQ15" s="814"/>
    </row>
    <row r="16" spans="1:70" ht="16.95" customHeight="1">
      <c r="B16" s="580"/>
      <c r="C16" s="580"/>
      <c r="D16" s="580"/>
      <c r="E16" s="580"/>
      <c r="F16" s="580"/>
      <c r="G16" s="730"/>
      <c r="H16" s="730"/>
      <c r="I16" s="730"/>
      <c r="J16" s="730"/>
      <c r="K16" s="730"/>
      <c r="L16" s="730"/>
      <c r="M16" s="730"/>
      <c r="N16" s="730"/>
      <c r="O16" s="730"/>
      <c r="P16" s="730"/>
      <c r="Q16" s="730"/>
      <c r="R16" s="730"/>
      <c r="S16" s="546"/>
      <c r="T16" s="546"/>
      <c r="U16" s="13" t="s">
        <v>1985</v>
      </c>
      <c r="V16" s="546"/>
      <c r="W16" s="546"/>
      <c r="Y16" s="580"/>
      <c r="Z16" s="580"/>
      <c r="AA16" s="580"/>
      <c r="AB16" s="580"/>
      <c r="AC16" s="580"/>
      <c r="AD16" s="730"/>
      <c r="AE16" s="730"/>
      <c r="AF16" s="730"/>
      <c r="AG16" s="730"/>
      <c r="AH16" s="730"/>
      <c r="AI16" s="730"/>
      <c r="AJ16" s="730"/>
      <c r="AK16" s="730"/>
      <c r="AL16" s="730"/>
      <c r="AM16" s="730"/>
      <c r="AN16" s="730"/>
      <c r="AO16" s="730"/>
      <c r="AP16" s="546"/>
      <c r="AQ16" s="546"/>
      <c r="AR16" s="13" t="s">
        <v>1985</v>
      </c>
      <c r="AS16" s="546"/>
      <c r="AT16" s="546"/>
      <c r="AV16" s="815"/>
      <c r="AW16" s="816"/>
      <c r="AX16" s="816"/>
      <c r="AY16" s="816"/>
      <c r="AZ16" s="817"/>
      <c r="BA16" s="806"/>
      <c r="BB16" s="807"/>
      <c r="BC16" s="807"/>
      <c r="BD16" s="807"/>
      <c r="BE16" s="807"/>
      <c r="BF16" s="808"/>
      <c r="BG16" s="809"/>
      <c r="BH16" s="810"/>
      <c r="BI16" s="810"/>
      <c r="BJ16" s="810"/>
      <c r="BK16" s="811"/>
      <c r="BL16" s="812"/>
      <c r="BM16" s="813"/>
      <c r="BN16" s="813"/>
      <c r="BO16" s="813"/>
      <c r="BP16" s="813"/>
      <c r="BQ16" s="814"/>
    </row>
    <row r="17" spans="2:69" ht="16.95" customHeight="1">
      <c r="B17" s="612"/>
      <c r="C17" s="612"/>
      <c r="D17" s="612"/>
      <c r="E17" s="612"/>
      <c r="F17" s="612"/>
      <c r="G17" s="732"/>
      <c r="H17" s="732"/>
      <c r="I17" s="732"/>
      <c r="J17" s="732"/>
      <c r="K17" s="732"/>
      <c r="L17" s="732"/>
      <c r="M17" s="732"/>
      <c r="N17" s="732"/>
      <c r="O17" s="732"/>
      <c r="P17" s="732"/>
      <c r="Q17" s="732"/>
      <c r="R17" s="732"/>
      <c r="S17" s="609"/>
      <c r="T17" s="609"/>
      <c r="U17" s="13" t="s">
        <v>1985</v>
      </c>
      <c r="V17" s="609"/>
      <c r="W17" s="609"/>
      <c r="Y17" s="612"/>
      <c r="Z17" s="612"/>
      <c r="AA17" s="612"/>
      <c r="AB17" s="612"/>
      <c r="AC17" s="612"/>
      <c r="AD17" s="732"/>
      <c r="AE17" s="732"/>
      <c r="AF17" s="732"/>
      <c r="AG17" s="732"/>
      <c r="AH17" s="732"/>
      <c r="AI17" s="732"/>
      <c r="AJ17" s="732"/>
      <c r="AK17" s="732"/>
      <c r="AL17" s="732"/>
      <c r="AM17" s="732"/>
      <c r="AN17" s="732"/>
      <c r="AO17" s="732"/>
      <c r="AP17" s="609"/>
      <c r="AQ17" s="609"/>
      <c r="AR17" s="13" t="s">
        <v>1985</v>
      </c>
      <c r="AS17" s="609"/>
      <c r="AT17" s="609"/>
      <c r="AV17" s="815"/>
      <c r="AW17" s="816"/>
      <c r="AX17" s="816"/>
      <c r="AY17" s="816"/>
      <c r="AZ17" s="817"/>
      <c r="BA17" s="806"/>
      <c r="BB17" s="807"/>
      <c r="BC17" s="807"/>
      <c r="BD17" s="807"/>
      <c r="BE17" s="807"/>
      <c r="BF17" s="808"/>
      <c r="BG17" s="809"/>
      <c r="BH17" s="810"/>
      <c r="BI17" s="810"/>
      <c r="BJ17" s="810"/>
      <c r="BK17" s="811"/>
      <c r="BL17" s="812"/>
      <c r="BM17" s="813"/>
      <c r="BN17" s="813"/>
      <c r="BO17" s="813"/>
      <c r="BP17" s="813"/>
      <c r="BQ17" s="814"/>
    </row>
    <row r="18" spans="2:69" ht="16.95" customHeight="1">
      <c r="B18" s="580"/>
      <c r="C18" s="580"/>
      <c r="D18" s="580"/>
      <c r="E18" s="580"/>
      <c r="F18" s="580"/>
      <c r="G18" s="730"/>
      <c r="H18" s="730"/>
      <c r="I18" s="730"/>
      <c r="J18" s="730"/>
      <c r="K18" s="730"/>
      <c r="L18" s="730"/>
      <c r="M18" s="730"/>
      <c r="N18" s="730"/>
      <c r="O18" s="730"/>
      <c r="P18" s="730"/>
      <c r="Q18" s="730"/>
      <c r="R18" s="730"/>
      <c r="S18" s="546"/>
      <c r="T18" s="546"/>
      <c r="U18" s="13" t="s">
        <v>1985</v>
      </c>
      <c r="V18" s="546"/>
      <c r="W18" s="546"/>
      <c r="Y18" s="580"/>
      <c r="Z18" s="580"/>
      <c r="AA18" s="580"/>
      <c r="AB18" s="580"/>
      <c r="AC18" s="580"/>
      <c r="AD18" s="730"/>
      <c r="AE18" s="730"/>
      <c r="AF18" s="730"/>
      <c r="AG18" s="730"/>
      <c r="AH18" s="730"/>
      <c r="AI18" s="730"/>
      <c r="AJ18" s="730"/>
      <c r="AK18" s="730"/>
      <c r="AL18" s="730"/>
      <c r="AM18" s="730"/>
      <c r="AN18" s="730"/>
      <c r="AO18" s="730"/>
      <c r="AP18" s="546"/>
      <c r="AQ18" s="546"/>
      <c r="AR18" s="13" t="s">
        <v>1985</v>
      </c>
      <c r="AS18" s="546"/>
      <c r="AT18" s="546"/>
      <c r="AV18" s="815"/>
      <c r="AW18" s="816"/>
      <c r="AX18" s="816"/>
      <c r="AY18" s="816"/>
      <c r="AZ18" s="817"/>
      <c r="BA18" s="806"/>
      <c r="BB18" s="807"/>
      <c r="BC18" s="807"/>
      <c r="BD18" s="807"/>
      <c r="BE18" s="807"/>
      <c r="BF18" s="808"/>
      <c r="BG18" s="809"/>
      <c r="BH18" s="810"/>
      <c r="BI18" s="810"/>
      <c r="BJ18" s="810"/>
      <c r="BK18" s="811"/>
      <c r="BL18" s="812"/>
      <c r="BM18" s="813"/>
      <c r="BN18" s="813"/>
      <c r="BO18" s="813"/>
      <c r="BP18" s="813"/>
      <c r="BQ18" s="814"/>
    </row>
    <row r="19" spans="2:69" ht="16.95" customHeight="1">
      <c r="B19" s="612"/>
      <c r="C19" s="612"/>
      <c r="D19" s="612"/>
      <c r="E19" s="612"/>
      <c r="F19" s="612"/>
      <c r="G19" s="732"/>
      <c r="H19" s="732"/>
      <c r="I19" s="732"/>
      <c r="J19" s="732"/>
      <c r="K19" s="732"/>
      <c r="L19" s="732"/>
      <c r="M19" s="732"/>
      <c r="N19" s="732"/>
      <c r="O19" s="732"/>
      <c r="P19" s="732"/>
      <c r="Q19" s="732"/>
      <c r="R19" s="732"/>
      <c r="S19" s="609"/>
      <c r="T19" s="609"/>
      <c r="U19" s="13" t="s">
        <v>1985</v>
      </c>
      <c r="V19" s="609"/>
      <c r="W19" s="609"/>
      <c r="Y19" s="612"/>
      <c r="Z19" s="612"/>
      <c r="AA19" s="612"/>
      <c r="AB19" s="612"/>
      <c r="AC19" s="612"/>
      <c r="AD19" s="732"/>
      <c r="AE19" s="732"/>
      <c r="AF19" s="732"/>
      <c r="AG19" s="732"/>
      <c r="AH19" s="732"/>
      <c r="AI19" s="732"/>
      <c r="AJ19" s="732"/>
      <c r="AK19" s="732"/>
      <c r="AL19" s="732"/>
      <c r="AM19" s="732"/>
      <c r="AN19" s="732"/>
      <c r="AO19" s="732"/>
      <c r="AP19" s="609"/>
      <c r="AQ19" s="609"/>
      <c r="AR19" s="13" t="s">
        <v>1985</v>
      </c>
      <c r="AS19" s="609"/>
      <c r="AT19" s="609"/>
      <c r="AV19" s="815"/>
      <c r="AW19" s="816"/>
      <c r="AX19" s="816"/>
      <c r="AY19" s="816"/>
      <c r="AZ19" s="817"/>
      <c r="BA19" s="806"/>
      <c r="BB19" s="807"/>
      <c r="BC19" s="807"/>
      <c r="BD19" s="807"/>
      <c r="BE19" s="807"/>
      <c r="BF19" s="808"/>
      <c r="BG19" s="809"/>
      <c r="BH19" s="810"/>
      <c r="BI19" s="810"/>
      <c r="BJ19" s="810"/>
      <c r="BK19" s="811"/>
      <c r="BL19" s="812"/>
      <c r="BM19" s="813"/>
      <c r="BN19" s="813"/>
      <c r="BO19" s="813"/>
      <c r="BP19" s="813"/>
      <c r="BQ19" s="814"/>
    </row>
    <row r="20" spans="2:69" ht="16.95" customHeight="1">
      <c r="B20" s="580"/>
      <c r="C20" s="580"/>
      <c r="D20" s="580"/>
      <c r="E20" s="580"/>
      <c r="F20" s="580"/>
      <c r="G20" s="730"/>
      <c r="H20" s="730"/>
      <c r="I20" s="730"/>
      <c r="J20" s="730"/>
      <c r="K20" s="730"/>
      <c r="L20" s="730"/>
      <c r="M20" s="730"/>
      <c r="N20" s="730"/>
      <c r="O20" s="730"/>
      <c r="P20" s="730"/>
      <c r="Q20" s="730"/>
      <c r="R20" s="730"/>
      <c r="S20" s="546"/>
      <c r="T20" s="546"/>
      <c r="U20" s="13" t="s">
        <v>1985</v>
      </c>
      <c r="V20" s="546"/>
      <c r="W20" s="546"/>
      <c r="Y20" s="580"/>
      <c r="Z20" s="580"/>
      <c r="AA20" s="580"/>
      <c r="AB20" s="580"/>
      <c r="AC20" s="580"/>
      <c r="AD20" s="730"/>
      <c r="AE20" s="730"/>
      <c r="AF20" s="730"/>
      <c r="AG20" s="730"/>
      <c r="AH20" s="730"/>
      <c r="AI20" s="730"/>
      <c r="AJ20" s="730"/>
      <c r="AK20" s="730"/>
      <c r="AL20" s="730"/>
      <c r="AM20" s="730"/>
      <c r="AN20" s="730"/>
      <c r="AO20" s="730"/>
      <c r="AP20" s="546"/>
      <c r="AQ20" s="546"/>
      <c r="AR20" s="13" t="s">
        <v>1985</v>
      </c>
      <c r="AS20" s="546"/>
      <c r="AT20" s="546"/>
      <c r="AV20" s="815"/>
      <c r="AW20" s="816"/>
      <c r="AX20" s="816"/>
      <c r="AY20" s="816"/>
      <c r="AZ20" s="817"/>
      <c r="BA20" s="806"/>
      <c r="BB20" s="807"/>
      <c r="BC20" s="807"/>
      <c r="BD20" s="807"/>
      <c r="BE20" s="807"/>
      <c r="BF20" s="808"/>
      <c r="BG20" s="809"/>
      <c r="BH20" s="810"/>
      <c r="BI20" s="810"/>
      <c r="BJ20" s="810"/>
      <c r="BK20" s="811"/>
      <c r="BL20" s="812"/>
      <c r="BM20" s="813"/>
      <c r="BN20" s="813"/>
      <c r="BO20" s="813"/>
      <c r="BP20" s="813"/>
      <c r="BQ20" s="814"/>
    </row>
    <row r="21" spans="2:69" ht="16.95" customHeight="1">
      <c r="B21" s="612"/>
      <c r="C21" s="612"/>
      <c r="D21" s="612"/>
      <c r="E21" s="612"/>
      <c r="F21" s="612"/>
      <c r="G21" s="732"/>
      <c r="H21" s="732"/>
      <c r="I21" s="732"/>
      <c r="J21" s="732"/>
      <c r="K21" s="732"/>
      <c r="L21" s="732"/>
      <c r="M21" s="732"/>
      <c r="N21" s="732"/>
      <c r="O21" s="732"/>
      <c r="P21" s="732"/>
      <c r="Q21" s="732"/>
      <c r="R21" s="732"/>
      <c r="S21" s="609"/>
      <c r="T21" s="609"/>
      <c r="U21" s="13" t="s">
        <v>1985</v>
      </c>
      <c r="V21" s="822"/>
      <c r="W21" s="822"/>
      <c r="Y21" s="611"/>
      <c r="Z21" s="611"/>
      <c r="AA21" s="611"/>
      <c r="AB21" s="611"/>
      <c r="AC21" s="611"/>
      <c r="AD21" s="839"/>
      <c r="AE21" s="839"/>
      <c r="AF21" s="839"/>
      <c r="AG21" s="839"/>
      <c r="AH21" s="839"/>
      <c r="AI21" s="839"/>
      <c r="AJ21" s="839"/>
      <c r="AK21" s="839"/>
      <c r="AL21" s="839"/>
      <c r="AM21" s="839"/>
      <c r="AN21" s="839"/>
      <c r="AO21" s="839"/>
      <c r="AP21" s="609"/>
      <c r="AQ21" s="609"/>
      <c r="AR21" s="13" t="s">
        <v>1985</v>
      </c>
      <c r="AS21" s="822"/>
      <c r="AT21" s="822"/>
      <c r="AV21" s="815"/>
      <c r="AW21" s="816"/>
      <c r="AX21" s="816"/>
      <c r="AY21" s="816"/>
      <c r="AZ21" s="817"/>
      <c r="BA21" s="806"/>
      <c r="BB21" s="807"/>
      <c r="BC21" s="807"/>
      <c r="BD21" s="807"/>
      <c r="BE21" s="807"/>
      <c r="BF21" s="808"/>
      <c r="BG21" s="809"/>
      <c r="BH21" s="810"/>
      <c r="BI21" s="810"/>
      <c r="BJ21" s="810"/>
      <c r="BK21" s="811"/>
      <c r="BL21" s="812"/>
      <c r="BM21" s="813"/>
      <c r="BN21" s="813"/>
      <c r="BO21" s="813"/>
      <c r="BP21" s="813"/>
      <c r="BQ21" s="814"/>
    </row>
    <row r="22" spans="2:69" ht="16.95" customHeight="1">
      <c r="B22" s="580"/>
      <c r="C22" s="580"/>
      <c r="D22" s="580"/>
      <c r="E22" s="580"/>
      <c r="F22" s="580"/>
      <c r="G22" s="730"/>
      <c r="H22" s="730"/>
      <c r="I22" s="730"/>
      <c r="J22" s="730"/>
      <c r="K22" s="730"/>
      <c r="L22" s="730"/>
      <c r="M22" s="730"/>
      <c r="N22" s="730"/>
      <c r="O22" s="730"/>
      <c r="P22" s="730"/>
      <c r="Q22" s="730"/>
      <c r="R22" s="730"/>
      <c r="S22" s="546"/>
      <c r="T22" s="546"/>
      <c r="U22" s="13" t="s">
        <v>1985</v>
      </c>
      <c r="V22" s="546"/>
      <c r="W22" s="546"/>
      <c r="Y22" s="580"/>
      <c r="Z22" s="580"/>
      <c r="AA22" s="580"/>
      <c r="AB22" s="580"/>
      <c r="AC22" s="580"/>
      <c r="AD22" s="730"/>
      <c r="AE22" s="730"/>
      <c r="AF22" s="730"/>
      <c r="AG22" s="730"/>
      <c r="AH22" s="730"/>
      <c r="AI22" s="730"/>
      <c r="AJ22" s="730"/>
      <c r="AK22" s="730"/>
      <c r="AL22" s="730"/>
      <c r="AM22" s="730"/>
      <c r="AN22" s="730"/>
      <c r="AO22" s="730"/>
      <c r="AP22" s="546"/>
      <c r="AQ22" s="546"/>
      <c r="AR22" s="13" t="s">
        <v>1985</v>
      </c>
      <c r="AS22" s="546"/>
      <c r="AT22" s="546"/>
      <c r="AV22" s="815"/>
      <c r="AW22" s="816"/>
      <c r="AX22" s="816"/>
      <c r="AY22" s="816"/>
      <c r="AZ22" s="817"/>
      <c r="BA22" s="806"/>
      <c r="BB22" s="807"/>
      <c r="BC22" s="807"/>
      <c r="BD22" s="807"/>
      <c r="BE22" s="807"/>
      <c r="BF22" s="808"/>
      <c r="BG22" s="809"/>
      <c r="BH22" s="810"/>
      <c r="BI22" s="810"/>
      <c r="BJ22" s="810"/>
      <c r="BK22" s="811"/>
      <c r="BL22" s="812"/>
      <c r="BM22" s="813"/>
      <c r="BN22" s="813"/>
      <c r="BO22" s="813"/>
      <c r="BP22" s="813"/>
      <c r="BQ22" s="814"/>
    </row>
    <row r="23" spans="2:69" ht="16.95" customHeight="1">
      <c r="B23" s="612"/>
      <c r="C23" s="612"/>
      <c r="D23" s="612"/>
      <c r="E23" s="612"/>
      <c r="F23" s="612"/>
      <c r="G23" s="732"/>
      <c r="H23" s="732"/>
      <c r="I23" s="732"/>
      <c r="J23" s="732"/>
      <c r="K23" s="732"/>
      <c r="L23" s="732"/>
      <c r="M23" s="732"/>
      <c r="N23" s="732"/>
      <c r="O23" s="732"/>
      <c r="P23" s="732"/>
      <c r="Q23" s="732"/>
      <c r="R23" s="732"/>
      <c r="S23" s="609"/>
      <c r="T23" s="609"/>
      <c r="U23" s="13" t="s">
        <v>1985</v>
      </c>
      <c r="V23" s="609"/>
      <c r="W23" s="609"/>
      <c r="Y23" s="612"/>
      <c r="Z23" s="612"/>
      <c r="AA23" s="612"/>
      <c r="AB23" s="612"/>
      <c r="AC23" s="612"/>
      <c r="AD23" s="732"/>
      <c r="AE23" s="732"/>
      <c r="AF23" s="732"/>
      <c r="AG23" s="732"/>
      <c r="AH23" s="732"/>
      <c r="AI23" s="732"/>
      <c r="AJ23" s="732"/>
      <c r="AK23" s="732"/>
      <c r="AL23" s="732"/>
      <c r="AM23" s="732"/>
      <c r="AN23" s="732"/>
      <c r="AO23" s="732"/>
      <c r="AP23" s="609"/>
      <c r="AQ23" s="609"/>
      <c r="AR23" s="13" t="s">
        <v>1985</v>
      </c>
      <c r="AS23" s="609"/>
      <c r="AT23" s="609"/>
      <c r="AV23" s="815"/>
      <c r="AW23" s="816"/>
      <c r="AX23" s="816"/>
      <c r="AY23" s="816"/>
      <c r="AZ23" s="817"/>
      <c r="BA23" s="806"/>
      <c r="BB23" s="807"/>
      <c r="BC23" s="807"/>
      <c r="BD23" s="807"/>
      <c r="BE23" s="807"/>
      <c r="BF23" s="808"/>
      <c r="BG23" s="809"/>
      <c r="BH23" s="810"/>
      <c r="BI23" s="810"/>
      <c r="BJ23" s="810"/>
      <c r="BK23" s="811"/>
      <c r="BL23" s="812"/>
      <c r="BM23" s="813"/>
      <c r="BN23" s="813"/>
      <c r="BO23" s="813"/>
      <c r="BP23" s="813"/>
      <c r="BQ23" s="814"/>
    </row>
    <row r="24" spans="2:69" ht="16.95" customHeight="1">
      <c r="B24" s="580"/>
      <c r="C24" s="580"/>
      <c r="D24" s="580"/>
      <c r="E24" s="580"/>
      <c r="F24" s="580"/>
      <c r="G24" s="730"/>
      <c r="H24" s="730"/>
      <c r="I24" s="730"/>
      <c r="J24" s="730"/>
      <c r="K24" s="730"/>
      <c r="L24" s="730"/>
      <c r="M24" s="730"/>
      <c r="N24" s="730"/>
      <c r="O24" s="730"/>
      <c r="P24" s="730"/>
      <c r="Q24" s="730"/>
      <c r="R24" s="730"/>
      <c r="S24" s="546"/>
      <c r="T24" s="546"/>
      <c r="U24" s="13" t="s">
        <v>1985</v>
      </c>
      <c r="V24" s="546"/>
      <c r="W24" s="546"/>
      <c r="Y24" s="580"/>
      <c r="Z24" s="580"/>
      <c r="AA24" s="580"/>
      <c r="AB24" s="580"/>
      <c r="AC24" s="580"/>
      <c r="AD24" s="730"/>
      <c r="AE24" s="730"/>
      <c r="AF24" s="730"/>
      <c r="AG24" s="730"/>
      <c r="AH24" s="730"/>
      <c r="AI24" s="730"/>
      <c r="AJ24" s="730"/>
      <c r="AK24" s="730"/>
      <c r="AL24" s="730"/>
      <c r="AM24" s="730"/>
      <c r="AN24" s="730"/>
      <c r="AO24" s="730"/>
      <c r="AP24" s="546"/>
      <c r="AQ24" s="546"/>
      <c r="AR24" s="13" t="s">
        <v>1985</v>
      </c>
      <c r="AS24" s="546"/>
      <c r="AT24" s="546"/>
      <c r="AV24" s="815"/>
      <c r="AW24" s="816"/>
      <c r="AX24" s="816"/>
      <c r="AY24" s="816"/>
      <c r="AZ24" s="817"/>
      <c r="BA24" s="806"/>
      <c r="BB24" s="807"/>
      <c r="BC24" s="807"/>
      <c r="BD24" s="807"/>
      <c r="BE24" s="807"/>
      <c r="BF24" s="808"/>
      <c r="BG24" s="809"/>
      <c r="BH24" s="810"/>
      <c r="BI24" s="810"/>
      <c r="BJ24" s="810"/>
      <c r="BK24" s="811"/>
      <c r="BL24" s="812"/>
      <c r="BM24" s="813"/>
      <c r="BN24" s="813"/>
      <c r="BO24" s="813"/>
      <c r="BP24" s="813"/>
      <c r="BQ24" s="814"/>
    </row>
    <row r="25" spans="2:69" ht="16.95" customHeight="1">
      <c r="B25" s="612"/>
      <c r="C25" s="612"/>
      <c r="D25" s="612"/>
      <c r="E25" s="612"/>
      <c r="F25" s="612"/>
      <c r="G25" s="732"/>
      <c r="H25" s="732"/>
      <c r="I25" s="732"/>
      <c r="J25" s="732"/>
      <c r="K25" s="732"/>
      <c r="L25" s="732"/>
      <c r="M25" s="732"/>
      <c r="N25" s="732"/>
      <c r="O25" s="732"/>
      <c r="P25" s="732"/>
      <c r="Q25" s="732"/>
      <c r="R25" s="732"/>
      <c r="S25" s="609"/>
      <c r="T25" s="609"/>
      <c r="U25" s="13" t="s">
        <v>1985</v>
      </c>
      <c r="V25" s="609"/>
      <c r="W25" s="609"/>
      <c r="Y25" s="612"/>
      <c r="Z25" s="612"/>
      <c r="AA25" s="612"/>
      <c r="AB25" s="612"/>
      <c r="AC25" s="612"/>
      <c r="AD25" s="732"/>
      <c r="AE25" s="732"/>
      <c r="AF25" s="732"/>
      <c r="AG25" s="732"/>
      <c r="AH25" s="732"/>
      <c r="AI25" s="732"/>
      <c r="AJ25" s="732"/>
      <c r="AK25" s="732"/>
      <c r="AL25" s="732"/>
      <c r="AM25" s="732"/>
      <c r="AN25" s="732"/>
      <c r="AO25" s="732"/>
      <c r="AP25" s="609"/>
      <c r="AQ25" s="609"/>
      <c r="AR25" s="13" t="s">
        <v>1985</v>
      </c>
      <c r="AS25" s="609"/>
      <c r="AT25" s="609"/>
      <c r="AV25" s="815"/>
      <c r="AW25" s="816"/>
      <c r="AX25" s="816"/>
      <c r="AY25" s="816"/>
      <c r="AZ25" s="817"/>
      <c r="BA25" s="806"/>
      <c r="BB25" s="807"/>
      <c r="BC25" s="807"/>
      <c r="BD25" s="807"/>
      <c r="BE25" s="807"/>
      <c r="BF25" s="808"/>
      <c r="BG25" s="809"/>
      <c r="BH25" s="810"/>
      <c r="BI25" s="810"/>
      <c r="BJ25" s="810"/>
      <c r="BK25" s="811"/>
      <c r="BL25" s="812"/>
      <c r="BM25" s="813"/>
      <c r="BN25" s="813"/>
      <c r="BO25" s="813"/>
      <c r="BP25" s="813"/>
      <c r="BQ25" s="814"/>
    </row>
    <row r="26" spans="2:69" ht="16.95" customHeight="1">
      <c r="AV26" s="815"/>
      <c r="AW26" s="816"/>
      <c r="AX26" s="816"/>
      <c r="AY26" s="816"/>
      <c r="AZ26" s="817"/>
      <c r="BA26" s="806"/>
      <c r="BB26" s="807"/>
      <c r="BC26" s="807"/>
      <c r="BD26" s="807"/>
      <c r="BE26" s="807"/>
      <c r="BF26" s="808"/>
      <c r="BG26" s="809"/>
      <c r="BH26" s="810"/>
      <c r="BI26" s="810"/>
      <c r="BJ26" s="810"/>
      <c r="BK26" s="811"/>
      <c r="BL26" s="812"/>
      <c r="BM26" s="813"/>
      <c r="BN26" s="813"/>
      <c r="BO26" s="813"/>
      <c r="BP26" s="813"/>
      <c r="BQ26" s="814"/>
    </row>
    <row r="27" spans="2:69" ht="16.95" customHeight="1">
      <c r="B27" s="824" t="s">
        <v>1986</v>
      </c>
      <c r="C27" s="824"/>
      <c r="D27" s="824"/>
      <c r="E27" s="824"/>
      <c r="F27" s="824"/>
      <c r="G27" s="824"/>
      <c r="H27" s="824"/>
      <c r="I27" s="824"/>
      <c r="J27" s="824"/>
      <c r="K27" s="824"/>
      <c r="L27" s="824"/>
      <c r="M27" s="824"/>
      <c r="N27" s="824"/>
      <c r="O27" s="824"/>
      <c r="P27" s="824"/>
      <c r="Q27" s="824"/>
      <c r="R27" s="824"/>
      <c r="S27" s="824"/>
      <c r="T27" s="824"/>
      <c r="U27" s="824"/>
      <c r="V27" s="825" t="s">
        <v>1987</v>
      </c>
      <c r="W27" s="825"/>
      <c r="Y27" s="824" t="s">
        <v>6028</v>
      </c>
      <c r="Z27" s="824"/>
      <c r="AA27" s="824"/>
      <c r="AB27" s="824"/>
      <c r="AC27" s="824"/>
      <c r="AD27" s="824"/>
      <c r="AE27" s="824"/>
      <c r="AF27" s="824"/>
      <c r="AG27" s="824"/>
      <c r="AH27" s="824"/>
      <c r="AI27" s="824"/>
      <c r="AJ27" s="824"/>
      <c r="AK27" s="824"/>
      <c r="AL27" s="824"/>
      <c r="AM27" s="824"/>
      <c r="AN27" s="824"/>
      <c r="AO27" s="824"/>
      <c r="AP27" s="824"/>
      <c r="AQ27" s="824"/>
      <c r="AR27" s="824"/>
      <c r="AS27" s="825" t="s">
        <v>1987</v>
      </c>
      <c r="AT27" s="825"/>
      <c r="AV27" s="815"/>
      <c r="AW27" s="816"/>
      <c r="AX27" s="816"/>
      <c r="AY27" s="816"/>
      <c r="AZ27" s="817"/>
      <c r="BA27" s="806"/>
      <c r="BB27" s="807"/>
      <c r="BC27" s="807"/>
      <c r="BD27" s="807"/>
      <c r="BE27" s="807"/>
      <c r="BF27" s="808"/>
      <c r="BG27" s="809"/>
      <c r="BH27" s="810"/>
      <c r="BI27" s="810"/>
      <c r="BJ27" s="810"/>
      <c r="BK27" s="811"/>
      <c r="BL27" s="812"/>
      <c r="BM27" s="813"/>
      <c r="BN27" s="813"/>
      <c r="BO27" s="813"/>
      <c r="BP27" s="813"/>
      <c r="BQ27" s="814"/>
    </row>
    <row r="28" spans="2:69" ht="16.95" customHeight="1">
      <c r="B28" s="826" t="s">
        <v>76</v>
      </c>
      <c r="C28" s="826"/>
      <c r="D28" s="826"/>
      <c r="E28" s="826"/>
      <c r="F28" s="826"/>
      <c r="G28" s="826" t="s">
        <v>132</v>
      </c>
      <c r="H28" s="826"/>
      <c r="I28" s="826"/>
      <c r="J28" s="826"/>
      <c r="K28" s="826"/>
      <c r="L28" s="826"/>
      <c r="M28" s="826"/>
      <c r="N28" s="826"/>
      <c r="O28" s="826"/>
      <c r="P28" s="826"/>
      <c r="Q28" s="826"/>
      <c r="R28" s="826"/>
      <c r="S28" s="826" t="s">
        <v>1983</v>
      </c>
      <c r="T28" s="826"/>
      <c r="U28" s="13"/>
      <c r="V28" s="826" t="s">
        <v>1984</v>
      </c>
      <c r="W28" s="826"/>
      <c r="X28" s="13"/>
      <c r="Y28" s="826" t="s">
        <v>76</v>
      </c>
      <c r="Z28" s="826"/>
      <c r="AA28" s="826"/>
      <c r="AB28" s="826"/>
      <c r="AC28" s="826"/>
      <c r="AD28" s="826" t="s">
        <v>132</v>
      </c>
      <c r="AE28" s="826"/>
      <c r="AF28" s="826"/>
      <c r="AG28" s="826"/>
      <c r="AH28" s="826"/>
      <c r="AI28" s="826"/>
      <c r="AJ28" s="826"/>
      <c r="AK28" s="826"/>
      <c r="AL28" s="826"/>
      <c r="AM28" s="826"/>
      <c r="AN28" s="826"/>
      <c r="AO28" s="826"/>
      <c r="AP28" s="826" t="s">
        <v>1983</v>
      </c>
      <c r="AQ28" s="826"/>
      <c r="AR28" s="13"/>
      <c r="AS28" s="826" t="s">
        <v>1984</v>
      </c>
      <c r="AT28" s="826"/>
      <c r="AV28" s="815"/>
      <c r="AW28" s="816"/>
      <c r="AX28" s="816"/>
      <c r="AY28" s="816"/>
      <c r="AZ28" s="817"/>
      <c r="BA28" s="806"/>
      <c r="BB28" s="807"/>
      <c r="BC28" s="807"/>
      <c r="BD28" s="807"/>
      <c r="BE28" s="807"/>
      <c r="BF28" s="808"/>
      <c r="BG28" s="809"/>
      <c r="BH28" s="810"/>
      <c r="BI28" s="810"/>
      <c r="BJ28" s="810"/>
      <c r="BK28" s="811"/>
      <c r="BL28" s="812"/>
      <c r="BM28" s="813"/>
      <c r="BN28" s="813"/>
      <c r="BO28" s="813"/>
      <c r="BP28" s="813"/>
      <c r="BQ28" s="814"/>
    </row>
    <row r="29" spans="2:69" ht="16.95" customHeight="1">
      <c r="B29" s="580"/>
      <c r="C29" s="580"/>
      <c r="D29" s="580"/>
      <c r="E29" s="580"/>
      <c r="F29" s="580"/>
      <c r="G29" s="821"/>
      <c r="H29" s="821"/>
      <c r="I29" s="821"/>
      <c r="J29" s="821"/>
      <c r="K29" s="821"/>
      <c r="L29" s="821"/>
      <c r="M29" s="821"/>
      <c r="N29" s="821"/>
      <c r="O29" s="821"/>
      <c r="P29" s="821"/>
      <c r="Q29" s="821"/>
      <c r="R29" s="821"/>
      <c r="S29" s="546"/>
      <c r="T29" s="546"/>
      <c r="U29" s="13" t="s">
        <v>1985</v>
      </c>
      <c r="V29" s="546"/>
      <c r="W29" s="546"/>
      <c r="Y29" s="580"/>
      <c r="Z29" s="580"/>
      <c r="AA29" s="580"/>
      <c r="AB29" s="580"/>
      <c r="AC29" s="580"/>
      <c r="AD29" s="821"/>
      <c r="AE29" s="821"/>
      <c r="AF29" s="821"/>
      <c r="AG29" s="821"/>
      <c r="AH29" s="821"/>
      <c r="AI29" s="821"/>
      <c r="AJ29" s="821"/>
      <c r="AK29" s="821"/>
      <c r="AL29" s="821"/>
      <c r="AM29" s="821"/>
      <c r="AN29" s="821"/>
      <c r="AO29" s="821"/>
      <c r="AP29" s="546"/>
      <c r="AQ29" s="546"/>
      <c r="AR29" s="13" t="s">
        <v>1985</v>
      </c>
      <c r="AS29" s="546"/>
      <c r="AT29" s="546"/>
      <c r="AV29" s="815"/>
      <c r="AW29" s="816"/>
      <c r="AX29" s="816"/>
      <c r="AY29" s="816"/>
      <c r="AZ29" s="817"/>
      <c r="BA29" s="806"/>
      <c r="BB29" s="807"/>
      <c r="BC29" s="807"/>
      <c r="BD29" s="807"/>
      <c r="BE29" s="807"/>
      <c r="BF29" s="808"/>
      <c r="BG29" s="809"/>
      <c r="BH29" s="810"/>
      <c r="BI29" s="810"/>
      <c r="BJ29" s="810"/>
      <c r="BK29" s="811"/>
      <c r="BL29" s="812"/>
      <c r="BM29" s="813"/>
      <c r="BN29" s="813"/>
      <c r="BO29" s="813"/>
      <c r="BP29" s="813"/>
      <c r="BQ29" s="814"/>
    </row>
    <row r="30" spans="2:69" ht="16.95" customHeight="1">
      <c r="B30" s="612"/>
      <c r="C30" s="612"/>
      <c r="D30" s="612"/>
      <c r="E30" s="612"/>
      <c r="F30" s="612"/>
      <c r="G30" s="818"/>
      <c r="H30" s="818"/>
      <c r="I30" s="818"/>
      <c r="J30" s="818"/>
      <c r="K30" s="818"/>
      <c r="L30" s="818"/>
      <c r="M30" s="818"/>
      <c r="N30" s="818"/>
      <c r="O30" s="818"/>
      <c r="P30" s="818"/>
      <c r="Q30" s="818"/>
      <c r="R30" s="818"/>
      <c r="S30" s="609"/>
      <c r="T30" s="609"/>
      <c r="U30" s="13" t="s">
        <v>1985</v>
      </c>
      <c r="V30" s="609"/>
      <c r="W30" s="609"/>
      <c r="Y30" s="612"/>
      <c r="Z30" s="612"/>
      <c r="AA30" s="612"/>
      <c r="AB30" s="612"/>
      <c r="AC30" s="612"/>
      <c r="AD30" s="818"/>
      <c r="AE30" s="818"/>
      <c r="AF30" s="818"/>
      <c r="AG30" s="818"/>
      <c r="AH30" s="818"/>
      <c r="AI30" s="818"/>
      <c r="AJ30" s="818"/>
      <c r="AK30" s="818"/>
      <c r="AL30" s="818"/>
      <c r="AM30" s="818"/>
      <c r="AN30" s="818"/>
      <c r="AO30" s="818"/>
      <c r="AP30" s="609"/>
      <c r="AQ30" s="609"/>
      <c r="AR30" s="13" t="s">
        <v>1985</v>
      </c>
      <c r="AS30" s="609"/>
      <c r="AT30" s="609"/>
      <c r="AV30" s="815"/>
      <c r="AW30" s="816"/>
      <c r="AX30" s="816"/>
      <c r="AY30" s="816"/>
      <c r="AZ30" s="817"/>
      <c r="BA30" s="806"/>
      <c r="BB30" s="807"/>
      <c r="BC30" s="807"/>
      <c r="BD30" s="807"/>
      <c r="BE30" s="807"/>
      <c r="BF30" s="808"/>
      <c r="BG30" s="809"/>
      <c r="BH30" s="810"/>
      <c r="BI30" s="810"/>
      <c r="BJ30" s="810"/>
      <c r="BK30" s="811"/>
      <c r="BL30" s="812"/>
      <c r="BM30" s="813"/>
      <c r="BN30" s="813"/>
      <c r="BO30" s="813"/>
      <c r="BP30" s="813"/>
      <c r="BQ30" s="814"/>
    </row>
    <row r="31" spans="2:69" ht="16.95" customHeight="1">
      <c r="B31" s="580"/>
      <c r="C31" s="580"/>
      <c r="D31" s="580"/>
      <c r="E31" s="580"/>
      <c r="F31" s="580"/>
      <c r="G31" s="821"/>
      <c r="H31" s="821"/>
      <c r="I31" s="821"/>
      <c r="J31" s="821"/>
      <c r="K31" s="821"/>
      <c r="L31" s="821"/>
      <c r="M31" s="821"/>
      <c r="N31" s="821"/>
      <c r="O31" s="821"/>
      <c r="P31" s="821"/>
      <c r="Q31" s="821"/>
      <c r="R31" s="821"/>
      <c r="S31" s="546"/>
      <c r="T31" s="546"/>
      <c r="U31" s="13" t="s">
        <v>1985</v>
      </c>
      <c r="V31" s="546"/>
      <c r="W31" s="546"/>
      <c r="Y31" s="580"/>
      <c r="Z31" s="580"/>
      <c r="AA31" s="580"/>
      <c r="AB31" s="580"/>
      <c r="AC31" s="580"/>
      <c r="AD31" s="821"/>
      <c r="AE31" s="821"/>
      <c r="AF31" s="821"/>
      <c r="AG31" s="821"/>
      <c r="AH31" s="821"/>
      <c r="AI31" s="821"/>
      <c r="AJ31" s="821"/>
      <c r="AK31" s="821"/>
      <c r="AL31" s="821"/>
      <c r="AM31" s="821"/>
      <c r="AN31" s="821"/>
      <c r="AO31" s="821"/>
      <c r="AP31" s="546"/>
      <c r="AQ31" s="546"/>
      <c r="AR31" s="13" t="s">
        <v>1985</v>
      </c>
      <c r="AS31" s="546"/>
      <c r="AT31" s="546"/>
      <c r="AV31" s="815"/>
      <c r="AW31" s="816"/>
      <c r="AX31" s="816"/>
      <c r="AY31" s="816"/>
      <c r="AZ31" s="817"/>
      <c r="BA31" s="806"/>
      <c r="BB31" s="807"/>
      <c r="BC31" s="807"/>
      <c r="BD31" s="807"/>
      <c r="BE31" s="807"/>
      <c r="BF31" s="808"/>
      <c r="BG31" s="809"/>
      <c r="BH31" s="810"/>
      <c r="BI31" s="810"/>
      <c r="BJ31" s="810"/>
      <c r="BK31" s="811"/>
      <c r="BL31" s="812"/>
      <c r="BM31" s="813"/>
      <c r="BN31" s="813"/>
      <c r="BO31" s="813"/>
      <c r="BP31" s="813"/>
      <c r="BQ31" s="814"/>
    </row>
    <row r="32" spans="2:69" ht="16.95" customHeight="1">
      <c r="B32" s="612"/>
      <c r="C32" s="612"/>
      <c r="D32" s="612"/>
      <c r="E32" s="612"/>
      <c r="F32" s="612"/>
      <c r="G32" s="818"/>
      <c r="H32" s="818"/>
      <c r="I32" s="818"/>
      <c r="J32" s="818"/>
      <c r="K32" s="818"/>
      <c r="L32" s="818"/>
      <c r="M32" s="818"/>
      <c r="N32" s="818"/>
      <c r="O32" s="818"/>
      <c r="P32" s="818"/>
      <c r="Q32" s="818"/>
      <c r="R32" s="818"/>
      <c r="S32" s="609"/>
      <c r="T32" s="609"/>
      <c r="U32" s="13" t="s">
        <v>1985</v>
      </c>
      <c r="V32" s="609"/>
      <c r="W32" s="609"/>
      <c r="Y32" s="612"/>
      <c r="Z32" s="612"/>
      <c r="AA32" s="612"/>
      <c r="AB32" s="612"/>
      <c r="AC32" s="612"/>
      <c r="AD32" s="818"/>
      <c r="AE32" s="818"/>
      <c r="AF32" s="818"/>
      <c r="AG32" s="818"/>
      <c r="AH32" s="818"/>
      <c r="AI32" s="818"/>
      <c r="AJ32" s="818"/>
      <c r="AK32" s="818"/>
      <c r="AL32" s="818"/>
      <c r="AM32" s="818"/>
      <c r="AN32" s="818"/>
      <c r="AO32" s="818"/>
      <c r="AP32" s="609"/>
      <c r="AQ32" s="609"/>
      <c r="AR32" s="13" t="s">
        <v>1985</v>
      </c>
      <c r="AS32" s="609"/>
      <c r="AT32" s="609"/>
      <c r="AV32" s="815"/>
      <c r="AW32" s="816"/>
      <c r="AX32" s="816"/>
      <c r="AY32" s="816"/>
      <c r="AZ32" s="817"/>
      <c r="BA32" s="806"/>
      <c r="BB32" s="807"/>
      <c r="BC32" s="807"/>
      <c r="BD32" s="807"/>
      <c r="BE32" s="807"/>
      <c r="BF32" s="808"/>
      <c r="BG32" s="809"/>
      <c r="BH32" s="810"/>
      <c r="BI32" s="810"/>
      <c r="BJ32" s="810"/>
      <c r="BK32" s="811"/>
      <c r="BL32" s="812"/>
      <c r="BM32" s="813"/>
      <c r="BN32" s="813"/>
      <c r="BO32" s="813"/>
      <c r="BP32" s="813"/>
      <c r="BQ32" s="814"/>
    </row>
    <row r="33" spans="2:69" ht="16.95" customHeight="1">
      <c r="B33" s="580"/>
      <c r="C33" s="580"/>
      <c r="D33" s="580"/>
      <c r="E33" s="580"/>
      <c r="F33" s="580"/>
      <c r="G33" s="821"/>
      <c r="H33" s="821"/>
      <c r="I33" s="821"/>
      <c r="J33" s="821"/>
      <c r="K33" s="821"/>
      <c r="L33" s="821"/>
      <c r="M33" s="821"/>
      <c r="N33" s="821"/>
      <c r="O33" s="821"/>
      <c r="P33" s="821"/>
      <c r="Q33" s="821"/>
      <c r="R33" s="821"/>
      <c r="S33" s="546"/>
      <c r="T33" s="546"/>
      <c r="U33" s="13" t="s">
        <v>1985</v>
      </c>
      <c r="V33" s="546"/>
      <c r="W33" s="546"/>
      <c r="Y33" s="580"/>
      <c r="Z33" s="580"/>
      <c r="AA33" s="580"/>
      <c r="AB33" s="580"/>
      <c r="AC33" s="580"/>
      <c r="AD33" s="821"/>
      <c r="AE33" s="821"/>
      <c r="AF33" s="821"/>
      <c r="AG33" s="821"/>
      <c r="AH33" s="821"/>
      <c r="AI33" s="821"/>
      <c r="AJ33" s="821"/>
      <c r="AK33" s="821"/>
      <c r="AL33" s="821"/>
      <c r="AM33" s="821"/>
      <c r="AN33" s="821"/>
      <c r="AO33" s="821"/>
      <c r="AP33" s="546"/>
      <c r="AQ33" s="546"/>
      <c r="AR33" s="13" t="s">
        <v>1985</v>
      </c>
      <c r="AS33" s="546"/>
      <c r="AT33" s="546"/>
      <c r="AV33" s="815"/>
      <c r="AW33" s="816"/>
      <c r="AX33" s="816"/>
      <c r="AY33" s="816"/>
      <c r="AZ33" s="817"/>
      <c r="BA33" s="806"/>
      <c r="BB33" s="807"/>
      <c r="BC33" s="807"/>
      <c r="BD33" s="807"/>
      <c r="BE33" s="807"/>
      <c r="BF33" s="808"/>
      <c r="BG33" s="809"/>
      <c r="BH33" s="810"/>
      <c r="BI33" s="810"/>
      <c r="BJ33" s="810"/>
      <c r="BK33" s="811"/>
      <c r="BL33" s="812"/>
      <c r="BM33" s="813"/>
      <c r="BN33" s="813"/>
      <c r="BO33" s="813"/>
      <c r="BP33" s="813"/>
      <c r="BQ33" s="814"/>
    </row>
    <row r="34" spans="2:69" ht="16.95" customHeight="1">
      <c r="B34" s="611"/>
      <c r="C34" s="611"/>
      <c r="D34" s="611"/>
      <c r="E34" s="611"/>
      <c r="F34" s="611"/>
      <c r="G34" s="747"/>
      <c r="H34" s="747"/>
      <c r="I34" s="747"/>
      <c r="J34" s="747"/>
      <c r="K34" s="747"/>
      <c r="L34" s="747"/>
      <c r="M34" s="747"/>
      <c r="N34" s="747"/>
      <c r="O34" s="747"/>
      <c r="P34" s="747"/>
      <c r="Q34" s="747"/>
      <c r="R34" s="747"/>
      <c r="S34" s="609"/>
      <c r="T34" s="609"/>
      <c r="U34" s="13" t="s">
        <v>1985</v>
      </c>
      <c r="V34" s="822"/>
      <c r="W34" s="822"/>
      <c r="Y34" s="611"/>
      <c r="Z34" s="611"/>
      <c r="AA34" s="611"/>
      <c r="AB34" s="611"/>
      <c r="AC34" s="611"/>
      <c r="AD34" s="747"/>
      <c r="AE34" s="747"/>
      <c r="AF34" s="747"/>
      <c r="AG34" s="747"/>
      <c r="AH34" s="747"/>
      <c r="AI34" s="747"/>
      <c r="AJ34" s="747"/>
      <c r="AK34" s="747"/>
      <c r="AL34" s="747"/>
      <c r="AM34" s="747"/>
      <c r="AN34" s="747"/>
      <c r="AO34" s="747"/>
      <c r="AP34" s="609"/>
      <c r="AQ34" s="609"/>
      <c r="AR34" s="13" t="s">
        <v>1985</v>
      </c>
      <c r="AS34" s="822"/>
      <c r="AT34" s="822"/>
      <c r="AV34" s="815"/>
      <c r="AW34" s="816"/>
      <c r="AX34" s="816"/>
      <c r="AY34" s="816"/>
      <c r="AZ34" s="817"/>
      <c r="BA34" s="806"/>
      <c r="BB34" s="807"/>
      <c r="BC34" s="807"/>
      <c r="BD34" s="807"/>
      <c r="BE34" s="807"/>
      <c r="BF34" s="808"/>
      <c r="BG34" s="809"/>
      <c r="BH34" s="810"/>
      <c r="BI34" s="810"/>
      <c r="BJ34" s="810"/>
      <c r="BK34" s="811"/>
      <c r="BL34" s="812"/>
      <c r="BM34" s="813"/>
      <c r="BN34" s="813"/>
      <c r="BO34" s="813"/>
      <c r="BP34" s="813"/>
      <c r="BQ34" s="814"/>
    </row>
    <row r="35" spans="2:69" ht="16.95" customHeight="1">
      <c r="B35" s="580"/>
      <c r="C35" s="580"/>
      <c r="D35" s="580"/>
      <c r="E35" s="580"/>
      <c r="F35" s="580"/>
      <c r="G35" s="821"/>
      <c r="H35" s="821"/>
      <c r="I35" s="821"/>
      <c r="J35" s="821"/>
      <c r="K35" s="821"/>
      <c r="L35" s="821"/>
      <c r="M35" s="821"/>
      <c r="N35" s="821"/>
      <c r="O35" s="821"/>
      <c r="P35" s="821"/>
      <c r="Q35" s="821"/>
      <c r="R35" s="821"/>
      <c r="S35" s="546"/>
      <c r="T35" s="546"/>
      <c r="U35" s="13" t="s">
        <v>1985</v>
      </c>
      <c r="V35" s="546"/>
      <c r="W35" s="546"/>
      <c r="Y35" s="580"/>
      <c r="Z35" s="580"/>
      <c r="AA35" s="580"/>
      <c r="AB35" s="580"/>
      <c r="AC35" s="580"/>
      <c r="AD35" s="821"/>
      <c r="AE35" s="821"/>
      <c r="AF35" s="821"/>
      <c r="AG35" s="821"/>
      <c r="AH35" s="821"/>
      <c r="AI35" s="821"/>
      <c r="AJ35" s="821"/>
      <c r="AK35" s="821"/>
      <c r="AL35" s="821"/>
      <c r="AM35" s="821"/>
      <c r="AN35" s="821"/>
      <c r="AO35" s="821"/>
      <c r="AP35" s="546"/>
      <c r="AQ35" s="546"/>
      <c r="AR35" s="13" t="s">
        <v>1985</v>
      </c>
      <c r="AS35" s="546"/>
      <c r="AT35" s="546"/>
      <c r="AV35" s="815"/>
      <c r="AW35" s="816"/>
      <c r="AX35" s="816"/>
      <c r="AY35" s="816"/>
      <c r="AZ35" s="817"/>
      <c r="BA35" s="806"/>
      <c r="BB35" s="807"/>
      <c r="BC35" s="807"/>
      <c r="BD35" s="807"/>
      <c r="BE35" s="807"/>
      <c r="BF35" s="808"/>
      <c r="BG35" s="809"/>
      <c r="BH35" s="810"/>
      <c r="BI35" s="810"/>
      <c r="BJ35" s="810"/>
      <c r="BK35" s="811"/>
      <c r="BL35" s="812"/>
      <c r="BM35" s="813"/>
      <c r="BN35" s="813"/>
      <c r="BO35" s="813"/>
      <c r="BP35" s="813"/>
      <c r="BQ35" s="814"/>
    </row>
    <row r="36" spans="2:69" ht="16.95" customHeight="1">
      <c r="B36" s="612"/>
      <c r="C36" s="612"/>
      <c r="D36" s="612"/>
      <c r="E36" s="612"/>
      <c r="F36" s="612"/>
      <c r="G36" s="818"/>
      <c r="H36" s="818"/>
      <c r="I36" s="818"/>
      <c r="J36" s="818"/>
      <c r="K36" s="818"/>
      <c r="L36" s="818"/>
      <c r="M36" s="818"/>
      <c r="N36" s="818"/>
      <c r="O36" s="818"/>
      <c r="P36" s="818"/>
      <c r="Q36" s="818"/>
      <c r="R36" s="818"/>
      <c r="S36" s="609"/>
      <c r="T36" s="609"/>
      <c r="U36" s="13" t="s">
        <v>1985</v>
      </c>
      <c r="V36" s="609"/>
      <c r="W36" s="609"/>
      <c r="Y36" s="612"/>
      <c r="Z36" s="612"/>
      <c r="AA36" s="612"/>
      <c r="AB36" s="612"/>
      <c r="AC36" s="612"/>
      <c r="AD36" s="818"/>
      <c r="AE36" s="818"/>
      <c r="AF36" s="818"/>
      <c r="AG36" s="818"/>
      <c r="AH36" s="818"/>
      <c r="AI36" s="818"/>
      <c r="AJ36" s="818"/>
      <c r="AK36" s="818"/>
      <c r="AL36" s="818"/>
      <c r="AM36" s="818"/>
      <c r="AN36" s="818"/>
      <c r="AO36" s="818"/>
      <c r="AP36" s="609"/>
      <c r="AQ36" s="609"/>
      <c r="AR36" s="13" t="s">
        <v>1985</v>
      </c>
      <c r="AS36" s="609"/>
      <c r="AT36" s="609"/>
      <c r="AV36" s="815"/>
      <c r="AW36" s="816"/>
      <c r="AX36" s="816"/>
      <c r="AY36" s="816"/>
      <c r="AZ36" s="817"/>
      <c r="BA36" s="806"/>
      <c r="BB36" s="807"/>
      <c r="BC36" s="807"/>
      <c r="BD36" s="807"/>
      <c r="BE36" s="807"/>
      <c r="BF36" s="808"/>
      <c r="BG36" s="809"/>
      <c r="BH36" s="810"/>
      <c r="BI36" s="810"/>
      <c r="BJ36" s="810"/>
      <c r="BK36" s="811"/>
      <c r="BL36" s="812"/>
      <c r="BM36" s="813"/>
      <c r="BN36" s="813"/>
      <c r="BO36" s="813"/>
      <c r="BP36" s="813"/>
      <c r="BQ36" s="814"/>
    </row>
    <row r="37" spans="2:69" ht="16.95" customHeight="1">
      <c r="B37" s="580"/>
      <c r="C37" s="580"/>
      <c r="D37" s="580"/>
      <c r="E37" s="580"/>
      <c r="F37" s="580"/>
      <c r="G37" s="821"/>
      <c r="H37" s="821"/>
      <c r="I37" s="821"/>
      <c r="J37" s="821"/>
      <c r="K37" s="821"/>
      <c r="L37" s="821"/>
      <c r="M37" s="821"/>
      <c r="N37" s="821"/>
      <c r="O37" s="821"/>
      <c r="P37" s="821"/>
      <c r="Q37" s="821"/>
      <c r="R37" s="821"/>
      <c r="S37" s="546"/>
      <c r="T37" s="546"/>
      <c r="U37" s="13" t="s">
        <v>1985</v>
      </c>
      <c r="V37" s="546"/>
      <c r="W37" s="546"/>
      <c r="Y37" s="580"/>
      <c r="Z37" s="580"/>
      <c r="AA37" s="580"/>
      <c r="AB37" s="580"/>
      <c r="AC37" s="580"/>
      <c r="AD37" s="821"/>
      <c r="AE37" s="821"/>
      <c r="AF37" s="821"/>
      <c r="AG37" s="821"/>
      <c r="AH37" s="821"/>
      <c r="AI37" s="821"/>
      <c r="AJ37" s="821"/>
      <c r="AK37" s="821"/>
      <c r="AL37" s="821"/>
      <c r="AM37" s="821"/>
      <c r="AN37" s="821"/>
      <c r="AO37" s="821"/>
      <c r="AP37" s="546"/>
      <c r="AQ37" s="546"/>
      <c r="AR37" s="13" t="s">
        <v>1985</v>
      </c>
      <c r="AS37" s="546"/>
      <c r="AT37" s="546"/>
      <c r="AV37" s="815"/>
      <c r="AW37" s="816"/>
      <c r="AX37" s="816"/>
      <c r="AY37" s="816"/>
      <c r="AZ37" s="817"/>
      <c r="BA37" s="806"/>
      <c r="BB37" s="807"/>
      <c r="BC37" s="807"/>
      <c r="BD37" s="807"/>
      <c r="BE37" s="807"/>
      <c r="BF37" s="808"/>
      <c r="BG37" s="809"/>
      <c r="BH37" s="810"/>
      <c r="BI37" s="810"/>
      <c r="BJ37" s="810"/>
      <c r="BK37" s="811"/>
      <c r="BL37" s="812"/>
      <c r="BM37" s="813"/>
      <c r="BN37" s="813"/>
      <c r="BO37" s="813"/>
      <c r="BP37" s="813"/>
      <c r="BQ37" s="814"/>
    </row>
    <row r="38" spans="2:69" ht="16.95" customHeight="1">
      <c r="B38" s="612"/>
      <c r="C38" s="612"/>
      <c r="D38" s="612"/>
      <c r="E38" s="612"/>
      <c r="F38" s="612"/>
      <c r="G38" s="818"/>
      <c r="H38" s="818"/>
      <c r="I38" s="818"/>
      <c r="J38" s="818"/>
      <c r="K38" s="818"/>
      <c r="L38" s="818"/>
      <c r="M38" s="818"/>
      <c r="N38" s="818"/>
      <c r="O38" s="818"/>
      <c r="P38" s="818"/>
      <c r="Q38" s="818"/>
      <c r="R38" s="818"/>
      <c r="S38" s="609"/>
      <c r="T38" s="609"/>
      <c r="U38" s="13" t="s">
        <v>1985</v>
      </c>
      <c r="V38" s="609"/>
      <c r="W38" s="609"/>
      <c r="Y38" s="612"/>
      <c r="Z38" s="612"/>
      <c r="AA38" s="612"/>
      <c r="AB38" s="612"/>
      <c r="AC38" s="612"/>
      <c r="AD38" s="818"/>
      <c r="AE38" s="818"/>
      <c r="AF38" s="818"/>
      <c r="AG38" s="818"/>
      <c r="AH38" s="818"/>
      <c r="AI38" s="818"/>
      <c r="AJ38" s="818"/>
      <c r="AK38" s="818"/>
      <c r="AL38" s="818"/>
      <c r="AM38" s="818"/>
      <c r="AN38" s="818"/>
      <c r="AO38" s="818"/>
      <c r="AP38" s="609"/>
      <c r="AQ38" s="609"/>
      <c r="AR38" s="13" t="s">
        <v>1985</v>
      </c>
      <c r="AS38" s="609"/>
      <c r="AT38" s="609"/>
      <c r="AV38" s="815"/>
      <c r="AW38" s="816"/>
      <c r="AX38" s="816"/>
      <c r="AY38" s="816"/>
      <c r="AZ38" s="817"/>
      <c r="BA38" s="806"/>
      <c r="BB38" s="807"/>
      <c r="BC38" s="807"/>
      <c r="BD38" s="807"/>
      <c r="BE38" s="807"/>
      <c r="BF38" s="808"/>
      <c r="BG38" s="809"/>
      <c r="BH38" s="810"/>
      <c r="BI38" s="810"/>
      <c r="BJ38" s="810"/>
      <c r="BK38" s="811"/>
      <c r="BL38" s="812"/>
      <c r="BM38" s="813"/>
      <c r="BN38" s="813"/>
      <c r="BO38" s="813"/>
      <c r="BP38" s="813"/>
      <c r="BQ38" s="814"/>
    </row>
    <row r="39" spans="2:69" ht="16.95" customHeight="1">
      <c r="B39" s="5"/>
      <c r="C39" s="5"/>
      <c r="D39" s="5"/>
      <c r="E39" s="5"/>
      <c r="F39" s="5"/>
      <c r="G39" s="5"/>
      <c r="H39" s="5"/>
      <c r="I39" s="5"/>
      <c r="J39" s="5"/>
      <c r="K39" s="5"/>
      <c r="L39" s="5"/>
      <c r="M39" s="5"/>
      <c r="N39" s="5"/>
      <c r="O39" s="5"/>
      <c r="P39" s="5"/>
      <c r="Q39" s="5"/>
      <c r="R39" s="5"/>
      <c r="S39" s="14"/>
      <c r="T39" s="14"/>
      <c r="V39" s="14"/>
      <c r="W39" s="14"/>
      <c r="Y39" s="5"/>
      <c r="Z39" s="5"/>
      <c r="AA39" s="5"/>
      <c r="AB39" s="5"/>
      <c r="AC39" s="5"/>
      <c r="AD39" s="5"/>
      <c r="AE39" s="5"/>
      <c r="AF39" s="5"/>
      <c r="AG39" s="5"/>
      <c r="AH39" s="5"/>
      <c r="AI39" s="5"/>
      <c r="AJ39" s="5"/>
      <c r="AK39" s="5"/>
      <c r="AL39" s="5"/>
      <c r="AM39" s="5"/>
      <c r="AN39" s="5"/>
      <c r="AO39" s="5"/>
      <c r="AP39" s="14"/>
      <c r="AQ39" s="14"/>
      <c r="AS39" s="14"/>
      <c r="AT39" s="14"/>
      <c r="AV39" s="815"/>
      <c r="AW39" s="816"/>
      <c r="AX39" s="816"/>
      <c r="AY39" s="816"/>
      <c r="AZ39" s="817"/>
      <c r="BA39" s="806"/>
      <c r="BB39" s="807"/>
      <c r="BC39" s="807"/>
      <c r="BD39" s="807"/>
      <c r="BE39" s="807"/>
      <c r="BF39" s="808"/>
      <c r="BG39" s="809"/>
      <c r="BH39" s="810"/>
      <c r="BI39" s="810"/>
      <c r="BJ39" s="810"/>
      <c r="BK39" s="811"/>
      <c r="BL39" s="812"/>
      <c r="BM39" s="813"/>
      <c r="BN39" s="813"/>
      <c r="BO39" s="813"/>
      <c r="BP39" s="813"/>
      <c r="BQ39" s="814"/>
    </row>
    <row r="40" spans="2:69" ht="16.95" customHeight="1">
      <c r="B40" s="580"/>
      <c r="C40" s="580"/>
      <c r="D40" s="580"/>
      <c r="E40" s="580"/>
      <c r="F40" s="580"/>
      <c r="G40" s="821"/>
      <c r="H40" s="821"/>
      <c r="I40" s="821"/>
      <c r="J40" s="821"/>
      <c r="K40" s="821"/>
      <c r="L40" s="821"/>
      <c r="M40" s="821"/>
      <c r="N40" s="821"/>
      <c r="O40" s="821"/>
      <c r="P40" s="821"/>
      <c r="Q40" s="821"/>
      <c r="R40" s="821"/>
      <c r="S40" s="546"/>
      <c r="T40" s="546"/>
      <c r="U40" s="13" t="s">
        <v>1985</v>
      </c>
      <c r="V40" s="546"/>
      <c r="W40" s="546"/>
      <c r="Y40" s="580"/>
      <c r="Z40" s="580"/>
      <c r="AA40" s="580"/>
      <c r="AB40" s="580"/>
      <c r="AC40" s="580"/>
      <c r="AD40" s="821"/>
      <c r="AE40" s="821"/>
      <c r="AF40" s="821"/>
      <c r="AG40" s="821"/>
      <c r="AH40" s="821"/>
      <c r="AI40" s="821"/>
      <c r="AJ40" s="821"/>
      <c r="AK40" s="821"/>
      <c r="AL40" s="821"/>
      <c r="AM40" s="821"/>
      <c r="AN40" s="821"/>
      <c r="AO40" s="821"/>
      <c r="AP40" s="546"/>
      <c r="AQ40" s="546"/>
      <c r="AR40" s="13" t="s">
        <v>1985</v>
      </c>
      <c r="AS40" s="546"/>
      <c r="AT40" s="546"/>
      <c r="AV40" s="815"/>
      <c r="AW40" s="816"/>
      <c r="AX40" s="816"/>
      <c r="AY40" s="816"/>
      <c r="AZ40" s="817"/>
      <c r="BA40" s="806"/>
      <c r="BB40" s="807"/>
      <c r="BC40" s="807"/>
      <c r="BD40" s="807"/>
      <c r="BE40" s="807"/>
      <c r="BF40" s="808"/>
      <c r="BG40" s="809"/>
      <c r="BH40" s="810"/>
      <c r="BI40" s="810"/>
      <c r="BJ40" s="810"/>
      <c r="BK40" s="811"/>
      <c r="BL40" s="812"/>
      <c r="BM40" s="813"/>
      <c r="BN40" s="813"/>
      <c r="BO40" s="813"/>
      <c r="BP40" s="813"/>
      <c r="BQ40" s="814"/>
    </row>
    <row r="41" spans="2:69" ht="16.95" customHeight="1">
      <c r="B41" s="612"/>
      <c r="C41" s="612"/>
      <c r="D41" s="612"/>
      <c r="E41" s="612"/>
      <c r="F41" s="612"/>
      <c r="G41" s="818"/>
      <c r="H41" s="818"/>
      <c r="I41" s="818"/>
      <c r="J41" s="818"/>
      <c r="K41" s="818"/>
      <c r="L41" s="818"/>
      <c r="M41" s="818"/>
      <c r="N41" s="818"/>
      <c r="O41" s="818"/>
      <c r="P41" s="818"/>
      <c r="Q41" s="818"/>
      <c r="R41" s="818"/>
      <c r="S41" s="609"/>
      <c r="T41" s="609"/>
      <c r="U41" s="13" t="s">
        <v>1985</v>
      </c>
      <c r="V41" s="609"/>
      <c r="W41" s="609"/>
      <c r="Y41" s="612"/>
      <c r="Z41" s="612"/>
      <c r="AA41" s="612"/>
      <c r="AB41" s="612"/>
      <c r="AC41" s="612"/>
      <c r="AD41" s="818"/>
      <c r="AE41" s="818"/>
      <c r="AF41" s="818"/>
      <c r="AG41" s="818"/>
      <c r="AH41" s="818"/>
      <c r="AI41" s="818"/>
      <c r="AJ41" s="818"/>
      <c r="AK41" s="818"/>
      <c r="AL41" s="818"/>
      <c r="AM41" s="818"/>
      <c r="AN41" s="818"/>
      <c r="AO41" s="818"/>
      <c r="AP41" s="609"/>
      <c r="AQ41" s="609"/>
      <c r="AR41" s="13" t="s">
        <v>1985</v>
      </c>
      <c r="AS41" s="609"/>
      <c r="AT41" s="609"/>
      <c r="AV41" s="815"/>
      <c r="AW41" s="816"/>
      <c r="AX41" s="816"/>
      <c r="AY41" s="816"/>
      <c r="AZ41" s="817"/>
      <c r="BA41" s="806"/>
      <c r="BB41" s="807"/>
      <c r="BC41" s="807"/>
      <c r="BD41" s="807"/>
      <c r="BE41" s="807"/>
      <c r="BF41" s="808"/>
      <c r="BG41" s="809"/>
      <c r="BH41" s="810"/>
      <c r="BI41" s="810"/>
      <c r="BJ41" s="810"/>
      <c r="BK41" s="811"/>
      <c r="BL41" s="812"/>
      <c r="BM41" s="813"/>
      <c r="BN41" s="813"/>
      <c r="BO41" s="813"/>
      <c r="BP41" s="813"/>
      <c r="BQ41" s="814"/>
    </row>
    <row r="42" spans="2:69" ht="16.95" customHeight="1">
      <c r="B42" s="580"/>
      <c r="C42" s="580"/>
      <c r="D42" s="580"/>
      <c r="E42" s="580"/>
      <c r="F42" s="580"/>
      <c r="G42" s="821"/>
      <c r="H42" s="821"/>
      <c r="I42" s="821"/>
      <c r="J42" s="821"/>
      <c r="K42" s="821"/>
      <c r="L42" s="821"/>
      <c r="M42" s="821"/>
      <c r="N42" s="821"/>
      <c r="O42" s="821"/>
      <c r="P42" s="821"/>
      <c r="Q42" s="821"/>
      <c r="R42" s="821"/>
      <c r="S42" s="546"/>
      <c r="T42" s="546"/>
      <c r="U42" s="13" t="s">
        <v>1985</v>
      </c>
      <c r="V42" s="546"/>
      <c r="W42" s="546"/>
      <c r="Y42" s="580"/>
      <c r="Z42" s="580"/>
      <c r="AA42" s="580"/>
      <c r="AB42" s="580"/>
      <c r="AC42" s="580"/>
      <c r="AD42" s="821"/>
      <c r="AE42" s="821"/>
      <c r="AF42" s="821"/>
      <c r="AG42" s="821"/>
      <c r="AH42" s="821"/>
      <c r="AI42" s="821"/>
      <c r="AJ42" s="821"/>
      <c r="AK42" s="821"/>
      <c r="AL42" s="821"/>
      <c r="AM42" s="821"/>
      <c r="AN42" s="821"/>
      <c r="AO42" s="821"/>
      <c r="AP42" s="546"/>
      <c r="AQ42" s="546"/>
      <c r="AR42" s="13" t="s">
        <v>1985</v>
      </c>
      <c r="AS42" s="546"/>
      <c r="AT42" s="546"/>
      <c r="AV42" s="815"/>
      <c r="AW42" s="816"/>
      <c r="AX42" s="816"/>
      <c r="AY42" s="816"/>
      <c r="AZ42" s="817"/>
      <c r="BA42" s="806"/>
      <c r="BB42" s="807"/>
      <c r="BC42" s="807"/>
      <c r="BD42" s="807"/>
      <c r="BE42" s="807"/>
      <c r="BF42" s="808"/>
      <c r="BG42" s="809"/>
      <c r="BH42" s="810"/>
      <c r="BI42" s="810"/>
      <c r="BJ42" s="810"/>
      <c r="BK42" s="811"/>
      <c r="BL42" s="812"/>
      <c r="BM42" s="813"/>
      <c r="BN42" s="813"/>
      <c r="BO42" s="813"/>
      <c r="BP42" s="813"/>
      <c r="BQ42" s="814"/>
    </row>
    <row r="43" spans="2:69" ht="16.95" customHeight="1">
      <c r="B43" s="612"/>
      <c r="C43" s="612"/>
      <c r="D43" s="612"/>
      <c r="E43" s="612"/>
      <c r="F43" s="612"/>
      <c r="G43" s="818"/>
      <c r="H43" s="818"/>
      <c r="I43" s="818"/>
      <c r="J43" s="818"/>
      <c r="K43" s="818"/>
      <c r="L43" s="818"/>
      <c r="M43" s="818"/>
      <c r="N43" s="818"/>
      <c r="O43" s="818"/>
      <c r="P43" s="818"/>
      <c r="Q43" s="818"/>
      <c r="R43" s="818"/>
      <c r="S43" s="609"/>
      <c r="T43" s="609"/>
      <c r="U43" s="13" t="s">
        <v>1985</v>
      </c>
      <c r="V43" s="609"/>
      <c r="W43" s="609"/>
      <c r="Y43" s="612"/>
      <c r="Z43" s="612"/>
      <c r="AA43" s="612"/>
      <c r="AB43" s="612"/>
      <c r="AC43" s="612"/>
      <c r="AD43" s="818"/>
      <c r="AE43" s="818"/>
      <c r="AF43" s="818"/>
      <c r="AG43" s="818"/>
      <c r="AH43" s="818"/>
      <c r="AI43" s="818"/>
      <c r="AJ43" s="818"/>
      <c r="AK43" s="818"/>
      <c r="AL43" s="818"/>
      <c r="AM43" s="818"/>
      <c r="AN43" s="818"/>
      <c r="AO43" s="818"/>
      <c r="AP43" s="609"/>
      <c r="AQ43" s="609"/>
      <c r="AR43" s="13" t="s">
        <v>1985</v>
      </c>
      <c r="AS43" s="609"/>
      <c r="AT43" s="609"/>
      <c r="AV43" s="815"/>
      <c r="AW43" s="816"/>
      <c r="AX43" s="816"/>
      <c r="AY43" s="816"/>
      <c r="AZ43" s="817"/>
      <c r="BA43" s="806"/>
      <c r="BB43" s="807"/>
      <c r="BC43" s="807"/>
      <c r="BD43" s="807"/>
      <c r="BE43" s="807"/>
      <c r="BF43" s="808"/>
      <c r="BG43" s="809"/>
      <c r="BH43" s="810"/>
      <c r="BI43" s="810"/>
      <c r="BJ43" s="810"/>
      <c r="BK43" s="811"/>
      <c r="BL43" s="812"/>
      <c r="BM43" s="813"/>
      <c r="BN43" s="813"/>
      <c r="BO43" s="813"/>
      <c r="BP43" s="813"/>
      <c r="BQ43" s="814"/>
    </row>
    <row r="44" spans="2:69" ht="16.95" customHeight="1">
      <c r="B44" s="580"/>
      <c r="C44" s="580"/>
      <c r="D44" s="580"/>
      <c r="E44" s="580"/>
      <c r="F44" s="580"/>
      <c r="G44" s="821"/>
      <c r="H44" s="821"/>
      <c r="I44" s="821"/>
      <c r="J44" s="821"/>
      <c r="K44" s="821"/>
      <c r="L44" s="821"/>
      <c r="M44" s="821"/>
      <c r="N44" s="821"/>
      <c r="O44" s="821"/>
      <c r="P44" s="821"/>
      <c r="Q44" s="821"/>
      <c r="R44" s="821"/>
      <c r="S44" s="546"/>
      <c r="T44" s="546"/>
      <c r="U44" s="13" t="s">
        <v>1985</v>
      </c>
      <c r="V44" s="546"/>
      <c r="W44" s="546"/>
      <c r="Y44" s="580"/>
      <c r="Z44" s="580"/>
      <c r="AA44" s="580"/>
      <c r="AB44" s="580"/>
      <c r="AC44" s="580"/>
      <c r="AD44" s="821"/>
      <c r="AE44" s="821"/>
      <c r="AF44" s="821"/>
      <c r="AG44" s="821"/>
      <c r="AH44" s="821"/>
      <c r="AI44" s="821"/>
      <c r="AJ44" s="821"/>
      <c r="AK44" s="821"/>
      <c r="AL44" s="821"/>
      <c r="AM44" s="821"/>
      <c r="AN44" s="821"/>
      <c r="AO44" s="821"/>
      <c r="AP44" s="546"/>
      <c r="AQ44" s="546"/>
      <c r="AR44" s="13" t="s">
        <v>1985</v>
      </c>
      <c r="AS44" s="546"/>
      <c r="AT44" s="546"/>
      <c r="AV44" s="815"/>
      <c r="AW44" s="816"/>
      <c r="AX44" s="816"/>
      <c r="AY44" s="816"/>
      <c r="AZ44" s="817"/>
      <c r="BA44" s="806"/>
      <c r="BB44" s="807"/>
      <c r="BC44" s="807"/>
      <c r="BD44" s="807"/>
      <c r="BE44" s="807"/>
      <c r="BF44" s="808"/>
      <c r="BG44" s="809"/>
      <c r="BH44" s="810"/>
      <c r="BI44" s="810"/>
      <c r="BJ44" s="810"/>
      <c r="BK44" s="811"/>
      <c r="BL44" s="812"/>
      <c r="BM44" s="813"/>
      <c r="BN44" s="813"/>
      <c r="BO44" s="813"/>
      <c r="BP44" s="813"/>
      <c r="BQ44" s="814"/>
    </row>
    <row r="45" spans="2:69" ht="16.95" customHeight="1">
      <c r="B45" s="611"/>
      <c r="C45" s="611"/>
      <c r="D45" s="611"/>
      <c r="E45" s="611"/>
      <c r="F45" s="611"/>
      <c r="G45" s="747"/>
      <c r="H45" s="747"/>
      <c r="I45" s="747"/>
      <c r="J45" s="747"/>
      <c r="K45" s="747"/>
      <c r="L45" s="747"/>
      <c r="M45" s="747"/>
      <c r="N45" s="747"/>
      <c r="O45" s="747"/>
      <c r="P45" s="747"/>
      <c r="Q45" s="747"/>
      <c r="R45" s="747"/>
      <c r="S45" s="609"/>
      <c r="T45" s="609"/>
      <c r="U45" s="13" t="s">
        <v>1985</v>
      </c>
      <c r="V45" s="822"/>
      <c r="W45" s="822"/>
      <c r="Y45" s="611"/>
      <c r="Z45" s="611"/>
      <c r="AA45" s="611"/>
      <c r="AB45" s="611"/>
      <c r="AC45" s="611"/>
      <c r="AD45" s="747"/>
      <c r="AE45" s="747"/>
      <c r="AF45" s="747"/>
      <c r="AG45" s="747"/>
      <c r="AH45" s="747"/>
      <c r="AI45" s="747"/>
      <c r="AJ45" s="747"/>
      <c r="AK45" s="747"/>
      <c r="AL45" s="747"/>
      <c r="AM45" s="747"/>
      <c r="AN45" s="747"/>
      <c r="AO45" s="747"/>
      <c r="AP45" s="609"/>
      <c r="AQ45" s="609"/>
      <c r="AR45" s="13" t="s">
        <v>1985</v>
      </c>
      <c r="AS45" s="822"/>
      <c r="AT45" s="822"/>
      <c r="AV45" s="815"/>
      <c r="AW45" s="816"/>
      <c r="AX45" s="816"/>
      <c r="AY45" s="816"/>
      <c r="AZ45" s="817"/>
      <c r="BA45" s="806"/>
      <c r="BB45" s="807"/>
      <c r="BC45" s="807"/>
      <c r="BD45" s="807"/>
      <c r="BE45" s="807"/>
      <c r="BF45" s="808"/>
      <c r="BG45" s="809"/>
      <c r="BH45" s="810"/>
      <c r="BI45" s="810"/>
      <c r="BJ45" s="810"/>
      <c r="BK45" s="811"/>
      <c r="BL45" s="812"/>
      <c r="BM45" s="813"/>
      <c r="BN45" s="813"/>
      <c r="BO45" s="813"/>
      <c r="BP45" s="813"/>
      <c r="BQ45" s="814"/>
    </row>
    <row r="46" spans="2:69" ht="16.95" customHeight="1">
      <c r="B46" s="580"/>
      <c r="C46" s="580"/>
      <c r="D46" s="580"/>
      <c r="E46" s="580"/>
      <c r="F46" s="580"/>
      <c r="G46" s="821"/>
      <c r="H46" s="821"/>
      <c r="I46" s="821"/>
      <c r="J46" s="821"/>
      <c r="K46" s="821"/>
      <c r="L46" s="821"/>
      <c r="M46" s="821"/>
      <c r="N46" s="821"/>
      <c r="O46" s="821"/>
      <c r="P46" s="821"/>
      <c r="Q46" s="821"/>
      <c r="R46" s="821"/>
      <c r="S46" s="546"/>
      <c r="T46" s="546"/>
      <c r="U46" s="13" t="s">
        <v>1985</v>
      </c>
      <c r="V46" s="546"/>
      <c r="W46" s="546"/>
      <c r="Y46" s="580"/>
      <c r="Z46" s="580"/>
      <c r="AA46" s="580"/>
      <c r="AB46" s="580"/>
      <c r="AC46" s="580"/>
      <c r="AD46" s="821"/>
      <c r="AE46" s="821"/>
      <c r="AF46" s="821"/>
      <c r="AG46" s="821"/>
      <c r="AH46" s="821"/>
      <c r="AI46" s="821"/>
      <c r="AJ46" s="821"/>
      <c r="AK46" s="821"/>
      <c r="AL46" s="821"/>
      <c r="AM46" s="821"/>
      <c r="AN46" s="821"/>
      <c r="AO46" s="821"/>
      <c r="AP46" s="546"/>
      <c r="AQ46" s="546"/>
      <c r="AR46" s="13" t="s">
        <v>1985</v>
      </c>
      <c r="AS46" s="546"/>
      <c r="AT46" s="546"/>
      <c r="AV46" s="815"/>
      <c r="AW46" s="816"/>
      <c r="AX46" s="816"/>
      <c r="AY46" s="816"/>
      <c r="AZ46" s="817"/>
      <c r="BA46" s="806"/>
      <c r="BB46" s="807"/>
      <c r="BC46" s="807"/>
      <c r="BD46" s="807"/>
      <c r="BE46" s="807"/>
      <c r="BF46" s="808"/>
      <c r="BG46" s="809"/>
      <c r="BH46" s="810"/>
      <c r="BI46" s="810"/>
      <c r="BJ46" s="810"/>
      <c r="BK46" s="811"/>
      <c r="BL46" s="812"/>
      <c r="BM46" s="813"/>
      <c r="BN46" s="813"/>
      <c r="BO46" s="813"/>
      <c r="BP46" s="813"/>
      <c r="BQ46" s="814"/>
    </row>
    <row r="47" spans="2:69" ht="16.95" customHeight="1">
      <c r="B47" s="612"/>
      <c r="C47" s="612"/>
      <c r="D47" s="612"/>
      <c r="E47" s="612"/>
      <c r="F47" s="612"/>
      <c r="G47" s="818"/>
      <c r="H47" s="818"/>
      <c r="I47" s="818"/>
      <c r="J47" s="818"/>
      <c r="K47" s="818"/>
      <c r="L47" s="818"/>
      <c r="M47" s="818"/>
      <c r="N47" s="818"/>
      <c r="O47" s="818"/>
      <c r="P47" s="818"/>
      <c r="Q47" s="818"/>
      <c r="R47" s="818"/>
      <c r="S47" s="609"/>
      <c r="T47" s="609"/>
      <c r="U47" s="13" t="s">
        <v>1985</v>
      </c>
      <c r="V47" s="609"/>
      <c r="W47" s="609"/>
      <c r="Y47" s="612"/>
      <c r="Z47" s="612"/>
      <c r="AA47" s="612"/>
      <c r="AB47" s="612"/>
      <c r="AC47" s="612"/>
      <c r="AD47" s="818"/>
      <c r="AE47" s="818"/>
      <c r="AF47" s="818"/>
      <c r="AG47" s="818"/>
      <c r="AH47" s="818"/>
      <c r="AI47" s="818"/>
      <c r="AJ47" s="818"/>
      <c r="AK47" s="818"/>
      <c r="AL47" s="818"/>
      <c r="AM47" s="818"/>
      <c r="AN47" s="818"/>
      <c r="AO47" s="818"/>
      <c r="AP47" s="609"/>
      <c r="AQ47" s="609"/>
      <c r="AR47" s="13" t="s">
        <v>1985</v>
      </c>
      <c r="AS47" s="609"/>
      <c r="AT47" s="609"/>
      <c r="AV47" s="815"/>
      <c r="AW47" s="816"/>
      <c r="AX47" s="816"/>
      <c r="AY47" s="816"/>
      <c r="AZ47" s="817"/>
      <c r="BA47" s="806"/>
      <c r="BB47" s="807"/>
      <c r="BC47" s="807"/>
      <c r="BD47" s="807"/>
      <c r="BE47" s="807"/>
      <c r="BF47" s="808"/>
      <c r="BG47" s="809"/>
      <c r="BH47" s="810"/>
      <c r="BI47" s="810"/>
      <c r="BJ47" s="810"/>
      <c r="BK47" s="811"/>
      <c r="BL47" s="812"/>
      <c r="BM47" s="813"/>
      <c r="BN47" s="813"/>
      <c r="BO47" s="813"/>
      <c r="BP47" s="813"/>
      <c r="BQ47" s="814"/>
    </row>
    <row r="48" spans="2:69" ht="16.95" customHeight="1">
      <c r="B48" s="580"/>
      <c r="C48" s="580"/>
      <c r="D48" s="580"/>
      <c r="E48" s="580"/>
      <c r="F48" s="580"/>
      <c r="G48" s="821"/>
      <c r="H48" s="821"/>
      <c r="I48" s="821"/>
      <c r="J48" s="821"/>
      <c r="K48" s="821"/>
      <c r="L48" s="821"/>
      <c r="M48" s="821"/>
      <c r="N48" s="821"/>
      <c r="O48" s="821"/>
      <c r="P48" s="821"/>
      <c r="Q48" s="821"/>
      <c r="R48" s="821"/>
      <c r="S48" s="546"/>
      <c r="T48" s="546"/>
      <c r="U48" s="13" t="s">
        <v>1985</v>
      </c>
      <c r="V48" s="546"/>
      <c r="W48" s="546"/>
      <c r="Y48" s="580"/>
      <c r="Z48" s="580"/>
      <c r="AA48" s="580"/>
      <c r="AB48" s="580"/>
      <c r="AC48" s="580"/>
      <c r="AD48" s="821"/>
      <c r="AE48" s="821"/>
      <c r="AF48" s="821"/>
      <c r="AG48" s="821"/>
      <c r="AH48" s="821"/>
      <c r="AI48" s="821"/>
      <c r="AJ48" s="821"/>
      <c r="AK48" s="821"/>
      <c r="AL48" s="821"/>
      <c r="AM48" s="821"/>
      <c r="AN48" s="821"/>
      <c r="AO48" s="821"/>
      <c r="AP48" s="546"/>
      <c r="AQ48" s="546"/>
      <c r="AR48" s="13" t="s">
        <v>1985</v>
      </c>
      <c r="AS48" s="546"/>
      <c r="AT48" s="546"/>
      <c r="AV48" s="815"/>
      <c r="AW48" s="816"/>
      <c r="AX48" s="816"/>
      <c r="AY48" s="816"/>
      <c r="AZ48" s="817"/>
      <c r="BA48" s="806"/>
      <c r="BB48" s="807"/>
      <c r="BC48" s="807"/>
      <c r="BD48" s="807"/>
      <c r="BE48" s="807"/>
      <c r="BF48" s="808"/>
      <c r="BG48" s="809"/>
      <c r="BH48" s="810"/>
      <c r="BI48" s="810"/>
      <c r="BJ48" s="810"/>
      <c r="BK48" s="811"/>
      <c r="BL48" s="812"/>
      <c r="BM48" s="813"/>
      <c r="BN48" s="813"/>
      <c r="BO48" s="813"/>
      <c r="BP48" s="813"/>
      <c r="BQ48" s="814"/>
    </row>
    <row r="49" spans="2:69" ht="16.95" customHeight="1">
      <c r="B49" s="612"/>
      <c r="C49" s="612"/>
      <c r="D49" s="612"/>
      <c r="E49" s="612"/>
      <c r="F49" s="612"/>
      <c r="G49" s="818"/>
      <c r="H49" s="818"/>
      <c r="I49" s="818"/>
      <c r="J49" s="818"/>
      <c r="K49" s="818"/>
      <c r="L49" s="818"/>
      <c r="M49" s="818"/>
      <c r="N49" s="818"/>
      <c r="O49" s="818"/>
      <c r="P49" s="818"/>
      <c r="Q49" s="818"/>
      <c r="R49" s="818"/>
      <c r="S49" s="609"/>
      <c r="T49" s="609"/>
      <c r="U49" s="13" t="s">
        <v>1985</v>
      </c>
      <c r="V49" s="609"/>
      <c r="W49" s="609"/>
      <c r="Y49" s="612"/>
      <c r="Z49" s="612"/>
      <c r="AA49" s="612"/>
      <c r="AB49" s="612"/>
      <c r="AC49" s="612"/>
      <c r="AD49" s="818"/>
      <c r="AE49" s="818"/>
      <c r="AF49" s="818"/>
      <c r="AG49" s="818"/>
      <c r="AH49" s="818"/>
      <c r="AI49" s="818"/>
      <c r="AJ49" s="818"/>
      <c r="AK49" s="818"/>
      <c r="AL49" s="818"/>
      <c r="AM49" s="818"/>
      <c r="AN49" s="818"/>
      <c r="AO49" s="818"/>
      <c r="AP49" s="609"/>
      <c r="AQ49" s="609"/>
      <c r="AR49" s="13" t="s">
        <v>1985</v>
      </c>
      <c r="AS49" s="609"/>
      <c r="AT49" s="609"/>
      <c r="AV49" s="815"/>
      <c r="AW49" s="816"/>
      <c r="AX49" s="816"/>
      <c r="AY49" s="816"/>
      <c r="AZ49" s="817"/>
      <c r="BA49" s="806"/>
      <c r="BB49" s="807"/>
      <c r="BC49" s="807"/>
      <c r="BD49" s="807"/>
      <c r="BE49" s="807"/>
      <c r="BF49" s="808"/>
      <c r="BG49" s="809"/>
      <c r="BH49" s="810"/>
      <c r="BI49" s="810"/>
      <c r="BJ49" s="810"/>
      <c r="BK49" s="811"/>
      <c r="BL49" s="812"/>
      <c r="BM49" s="813"/>
      <c r="BN49" s="813"/>
      <c r="BO49" s="813"/>
      <c r="BP49" s="813"/>
      <c r="BQ49" s="814"/>
    </row>
    <row r="50" spans="2:69" ht="16.95" customHeight="1">
      <c r="B50" s="5"/>
      <c r="C50" s="5"/>
      <c r="D50" s="5"/>
      <c r="E50" s="5"/>
      <c r="F50" s="5"/>
      <c r="G50" s="5"/>
      <c r="H50" s="5"/>
      <c r="I50" s="5"/>
      <c r="J50" s="5"/>
      <c r="K50" s="5"/>
      <c r="L50" s="5"/>
      <c r="M50" s="5"/>
      <c r="N50" s="5"/>
      <c r="O50" s="5"/>
      <c r="P50" s="5"/>
      <c r="Q50" s="5"/>
      <c r="R50" s="5"/>
      <c r="S50" s="14"/>
      <c r="T50" s="14"/>
      <c r="V50" s="14"/>
      <c r="W50" s="14"/>
      <c r="Y50" s="5"/>
      <c r="Z50" s="5"/>
      <c r="AA50" s="5"/>
      <c r="AB50" s="5"/>
      <c r="AC50" s="5"/>
      <c r="AD50" s="5"/>
      <c r="AE50" s="5"/>
      <c r="AF50" s="5"/>
      <c r="AG50" s="5"/>
      <c r="AH50" s="5"/>
      <c r="AI50" s="5"/>
      <c r="AJ50" s="5"/>
      <c r="AK50" s="5"/>
      <c r="AL50" s="5"/>
      <c r="AM50" s="5"/>
      <c r="AN50" s="5"/>
      <c r="AO50" s="5"/>
      <c r="AP50" s="14"/>
      <c r="AQ50" s="14"/>
      <c r="AS50" s="14"/>
      <c r="AT50" s="14"/>
      <c r="AV50" s="815"/>
      <c r="AW50" s="816"/>
      <c r="AX50" s="816"/>
      <c r="AY50" s="816"/>
      <c r="AZ50" s="817"/>
      <c r="BA50" s="806"/>
      <c r="BB50" s="807"/>
      <c r="BC50" s="807"/>
      <c r="BD50" s="807"/>
      <c r="BE50" s="807"/>
      <c r="BF50" s="808"/>
      <c r="BG50" s="809"/>
      <c r="BH50" s="810"/>
      <c r="BI50" s="810"/>
      <c r="BJ50" s="810"/>
      <c r="BK50" s="811"/>
      <c r="BL50" s="812"/>
      <c r="BM50" s="813"/>
      <c r="BN50" s="813"/>
      <c r="BO50" s="813"/>
      <c r="BP50" s="813"/>
      <c r="BQ50" s="814"/>
    </row>
    <row r="51" spans="2:69" ht="16.95" customHeight="1">
      <c r="B51" s="819" t="s">
        <v>1988</v>
      </c>
      <c r="C51" s="819"/>
      <c r="D51" s="819"/>
      <c r="E51" s="819"/>
      <c r="F51" s="819"/>
      <c r="G51" s="819"/>
      <c r="H51" s="546">
        <v>15</v>
      </c>
      <c r="I51" s="546"/>
      <c r="J51" s="14"/>
      <c r="K51" s="819" t="s">
        <v>1989</v>
      </c>
      <c r="L51" s="819"/>
      <c r="M51" s="819"/>
      <c r="N51" s="819"/>
      <c r="O51" s="819"/>
      <c r="P51" s="819"/>
      <c r="Q51" s="819"/>
      <c r="R51" s="819"/>
      <c r="S51" s="819"/>
      <c r="T51" s="819"/>
      <c r="U51" s="820">
        <f>SUM(数据表!Y22:Y43)</f>
        <v>0</v>
      </c>
      <c r="V51" s="820"/>
      <c r="W51" s="820"/>
      <c r="Y51" s="819" t="s">
        <v>1988</v>
      </c>
      <c r="Z51" s="819"/>
      <c r="AA51" s="819"/>
      <c r="AB51" s="819"/>
      <c r="AC51" s="819"/>
      <c r="AD51" s="819"/>
      <c r="AE51" s="546">
        <v>15</v>
      </c>
      <c r="AF51" s="546"/>
      <c r="AG51" s="14"/>
      <c r="AH51" s="819" t="s">
        <v>1989</v>
      </c>
      <c r="AI51" s="819"/>
      <c r="AJ51" s="819"/>
      <c r="AK51" s="819"/>
      <c r="AL51" s="819"/>
      <c r="AM51" s="819"/>
      <c r="AN51" s="819"/>
      <c r="AO51" s="819"/>
      <c r="AP51" s="819"/>
      <c r="AQ51" s="819"/>
      <c r="AR51" s="820">
        <f>SUM(数据表!Z22:Z42)</f>
        <v>0</v>
      </c>
      <c r="AS51" s="820"/>
      <c r="AT51" s="820"/>
      <c r="AV51" s="815"/>
      <c r="AW51" s="816"/>
      <c r="AX51" s="816"/>
      <c r="AY51" s="816"/>
      <c r="AZ51" s="817"/>
      <c r="BA51" s="806"/>
      <c r="BB51" s="807"/>
      <c r="BC51" s="807"/>
      <c r="BD51" s="807"/>
      <c r="BE51" s="807"/>
      <c r="BF51" s="808"/>
      <c r="BG51" s="809"/>
      <c r="BH51" s="810"/>
      <c r="BI51" s="810"/>
      <c r="BJ51" s="810"/>
      <c r="BK51" s="811"/>
      <c r="BL51" s="812"/>
      <c r="BM51" s="813"/>
      <c r="BN51" s="813"/>
      <c r="BO51" s="813"/>
      <c r="BP51" s="813"/>
      <c r="BQ51" s="814"/>
    </row>
    <row r="82" spans="24:24" ht="16.95" customHeight="1">
      <c r="X82" s="14"/>
    </row>
  </sheetData>
  <sheetProtection sheet="1"/>
  <mergeCells count="544">
    <mergeCell ref="AV46:AZ46"/>
    <mergeCell ref="BA46:BF46"/>
    <mergeCell ref="BG46:BK46"/>
    <mergeCell ref="BL46:BQ46"/>
    <mergeCell ref="AV47:AZ47"/>
    <mergeCell ref="BA47:BF47"/>
    <mergeCell ref="BG47:BK47"/>
    <mergeCell ref="BL47:BQ47"/>
    <mergeCell ref="B47:F47"/>
    <mergeCell ref="G47:R47"/>
    <mergeCell ref="S47:T47"/>
    <mergeCell ref="Y46:AC46"/>
    <mergeCell ref="AD46:AO46"/>
    <mergeCell ref="AP46:AQ46"/>
    <mergeCell ref="AS46:AT46"/>
    <mergeCell ref="Y47:AC47"/>
    <mergeCell ref="AD47:AO47"/>
    <mergeCell ref="AP47:AQ47"/>
    <mergeCell ref="AS47:AT47"/>
    <mergeCell ref="AV22:AZ22"/>
    <mergeCell ref="AV20:AZ20"/>
    <mergeCell ref="BA20:BF20"/>
    <mergeCell ref="BG20:BK20"/>
    <mergeCell ref="BL20:BQ20"/>
    <mergeCell ref="BA21:BF21"/>
    <mergeCell ref="BG21:BK21"/>
    <mergeCell ref="BL21:BQ21"/>
    <mergeCell ref="BA24:BF24"/>
    <mergeCell ref="BG24:BK24"/>
    <mergeCell ref="BL24:BQ24"/>
    <mergeCell ref="AV21:AZ21"/>
    <mergeCell ref="B51:G51"/>
    <mergeCell ref="H51:I51"/>
    <mergeCell ref="K51:T51"/>
    <mergeCell ref="U51:W51"/>
    <mergeCell ref="V43:W43"/>
    <mergeCell ref="S40:T40"/>
    <mergeCell ref="V40:W40"/>
    <mergeCell ref="S35:T35"/>
    <mergeCell ref="G35:R35"/>
    <mergeCell ref="S37:T37"/>
    <mergeCell ref="G37:R37"/>
    <mergeCell ref="V37:W37"/>
    <mergeCell ref="V36:W36"/>
    <mergeCell ref="V38:W38"/>
    <mergeCell ref="S38:T38"/>
    <mergeCell ref="G38:R38"/>
    <mergeCell ref="B38:F38"/>
    <mergeCell ref="V45:W45"/>
    <mergeCell ref="B49:F49"/>
    <mergeCell ref="G49:R49"/>
    <mergeCell ref="S49:T49"/>
    <mergeCell ref="V49:W49"/>
    <mergeCell ref="B48:F48"/>
    <mergeCell ref="G48:R48"/>
    <mergeCell ref="Y32:AC32"/>
    <mergeCell ref="AD32:AO32"/>
    <mergeCell ref="B46:F46"/>
    <mergeCell ref="G46:R46"/>
    <mergeCell ref="S46:T46"/>
    <mergeCell ref="V46:W46"/>
    <mergeCell ref="G40:R40"/>
    <mergeCell ref="AP32:AQ32"/>
    <mergeCell ref="AS32:AT32"/>
    <mergeCell ref="Y33:AC33"/>
    <mergeCell ref="AD33:AO33"/>
    <mergeCell ref="AP33:AQ33"/>
    <mergeCell ref="AS33:AT33"/>
    <mergeCell ref="B45:F45"/>
    <mergeCell ref="G45:R45"/>
    <mergeCell ref="S45:T45"/>
    <mergeCell ref="B44:F44"/>
    <mergeCell ref="G44:R44"/>
    <mergeCell ref="S44:T44"/>
    <mergeCell ref="V44:W44"/>
    <mergeCell ref="B43:F43"/>
    <mergeCell ref="G43:R43"/>
    <mergeCell ref="S43:T43"/>
    <mergeCell ref="B41:F41"/>
    <mergeCell ref="S48:T48"/>
    <mergeCell ref="V48:W48"/>
    <mergeCell ref="V47:W47"/>
    <mergeCell ref="BL13:BQ13"/>
    <mergeCell ref="BA14:BF14"/>
    <mergeCell ref="BG14:BK14"/>
    <mergeCell ref="BL14:BQ14"/>
    <mergeCell ref="AV26:AZ26"/>
    <mergeCell ref="BA26:BF26"/>
    <mergeCell ref="BG26:BK26"/>
    <mergeCell ref="BL26:BQ26"/>
    <mergeCell ref="AV27:AZ27"/>
    <mergeCell ref="BA27:BF27"/>
    <mergeCell ref="BG27:BK27"/>
    <mergeCell ref="BL27:BQ27"/>
    <mergeCell ref="BA15:BF15"/>
    <mergeCell ref="BG15:BK15"/>
    <mergeCell ref="BL15:BQ15"/>
    <mergeCell ref="AV16:AZ16"/>
    <mergeCell ref="BA16:BF16"/>
    <mergeCell ref="BG16:BK16"/>
    <mergeCell ref="BL16:BQ16"/>
    <mergeCell ref="AV25:AZ25"/>
    <mergeCell ref="AV24:AZ24"/>
    <mergeCell ref="B25:F25"/>
    <mergeCell ref="BA22:BF22"/>
    <mergeCell ref="BG22:BK22"/>
    <mergeCell ref="BL22:BQ22"/>
    <mergeCell ref="BA23:BF23"/>
    <mergeCell ref="BG23:BK23"/>
    <mergeCell ref="BL23:BQ23"/>
    <mergeCell ref="B29:F29"/>
    <mergeCell ref="G29:R29"/>
    <mergeCell ref="S29:T29"/>
    <mergeCell ref="V29:W29"/>
    <mergeCell ref="G25:R25"/>
    <mergeCell ref="S25:T25"/>
    <mergeCell ref="V25:W25"/>
    <mergeCell ref="Y25:AC25"/>
    <mergeCell ref="AD25:AO25"/>
    <mergeCell ref="AP25:AQ25"/>
    <mergeCell ref="AS25:AT25"/>
    <mergeCell ref="B24:F24"/>
    <mergeCell ref="G24:R24"/>
    <mergeCell ref="BA25:BF25"/>
    <mergeCell ref="BG25:BK25"/>
    <mergeCell ref="BL25:BQ25"/>
    <mergeCell ref="AV23:AZ23"/>
    <mergeCell ref="Y30:AC30"/>
    <mergeCell ref="AD30:AO30"/>
    <mergeCell ref="AP30:AQ30"/>
    <mergeCell ref="AS30:AT30"/>
    <mergeCell ref="Y31:AC31"/>
    <mergeCell ref="AD31:AO31"/>
    <mergeCell ref="AP31:AQ31"/>
    <mergeCell ref="AS31:AT31"/>
    <mergeCell ref="V31:W31"/>
    <mergeCell ref="V30:W30"/>
    <mergeCell ref="AS34:AT34"/>
    <mergeCell ref="Y35:AC35"/>
    <mergeCell ref="AD35:AO35"/>
    <mergeCell ref="AP35:AQ35"/>
    <mergeCell ref="AS35:AT35"/>
    <mergeCell ref="Y36:AC36"/>
    <mergeCell ref="AD36:AO36"/>
    <mergeCell ref="AP36:AQ36"/>
    <mergeCell ref="AS36:AT36"/>
    <mergeCell ref="Y34:AC34"/>
    <mergeCell ref="AD34:AO34"/>
    <mergeCell ref="AP34:AQ34"/>
    <mergeCell ref="AV9:AZ9"/>
    <mergeCell ref="V33:W33"/>
    <mergeCell ref="V32:W32"/>
    <mergeCell ref="AV12:AZ12"/>
    <mergeCell ref="AV11:AZ11"/>
    <mergeCell ref="V35:W35"/>
    <mergeCell ref="V34:W34"/>
    <mergeCell ref="B37:F37"/>
    <mergeCell ref="S36:T36"/>
    <mergeCell ref="G36:R36"/>
    <mergeCell ref="B36:F36"/>
    <mergeCell ref="AV15:AZ15"/>
    <mergeCell ref="G28:R28"/>
    <mergeCell ref="S28:T28"/>
    <mergeCell ref="V28:W28"/>
    <mergeCell ref="B31:F31"/>
    <mergeCell ref="S24:T24"/>
    <mergeCell ref="V24:W24"/>
    <mergeCell ref="Y24:AC24"/>
    <mergeCell ref="AD24:AO24"/>
    <mergeCell ref="AP24:AQ24"/>
    <mergeCell ref="AS24:AT24"/>
    <mergeCell ref="B23:F23"/>
    <mergeCell ref="G23:R23"/>
    <mergeCell ref="S23:T23"/>
    <mergeCell ref="V23:W23"/>
    <mergeCell ref="Y23:AC23"/>
    <mergeCell ref="AD23:AO23"/>
    <mergeCell ref="AP23:AQ23"/>
    <mergeCell ref="AS23:AT23"/>
    <mergeCell ref="B22:F22"/>
    <mergeCell ref="G22:R22"/>
    <mergeCell ref="S22:T22"/>
    <mergeCell ref="V22:W22"/>
    <mergeCell ref="Y22:AC22"/>
    <mergeCell ref="AD22:AO22"/>
    <mergeCell ref="AP22:AQ22"/>
    <mergeCell ref="AS22:AT22"/>
    <mergeCell ref="B21:F21"/>
    <mergeCell ref="G21:R21"/>
    <mergeCell ref="S21:T21"/>
    <mergeCell ref="V21:W21"/>
    <mergeCell ref="Y21:AC21"/>
    <mergeCell ref="AD21:AO21"/>
    <mergeCell ref="AP21:AQ21"/>
    <mergeCell ref="AS21:AT21"/>
    <mergeCell ref="B20:F20"/>
    <mergeCell ref="G20:R20"/>
    <mergeCell ref="S20:T20"/>
    <mergeCell ref="V20:W20"/>
    <mergeCell ref="Y20:AC20"/>
    <mergeCell ref="AD20:AO20"/>
    <mergeCell ref="AP20:AQ20"/>
    <mergeCell ref="AS20:AT20"/>
    <mergeCell ref="B19:F19"/>
    <mergeCell ref="G19:R19"/>
    <mergeCell ref="S19:T19"/>
    <mergeCell ref="V19:W19"/>
    <mergeCell ref="Y19:AC19"/>
    <mergeCell ref="AD19:AO19"/>
    <mergeCell ref="AP19:AQ19"/>
    <mergeCell ref="AS19:AT19"/>
    <mergeCell ref="B18:F18"/>
    <mergeCell ref="G18:R18"/>
    <mergeCell ref="S18:T18"/>
    <mergeCell ref="V18:W18"/>
    <mergeCell ref="Y18:AC18"/>
    <mergeCell ref="AD18:AO18"/>
    <mergeCell ref="AP18:AQ18"/>
    <mergeCell ref="AS18:AT18"/>
    <mergeCell ref="B17:F17"/>
    <mergeCell ref="G17:R17"/>
    <mergeCell ref="S17:T17"/>
    <mergeCell ref="V17:W17"/>
    <mergeCell ref="Y17:AC17"/>
    <mergeCell ref="AD17:AO17"/>
    <mergeCell ref="AP17:AQ17"/>
    <mergeCell ref="AS17:AT17"/>
    <mergeCell ref="B16:F16"/>
    <mergeCell ref="G16:R16"/>
    <mergeCell ref="S16:T16"/>
    <mergeCell ref="V16:W16"/>
    <mergeCell ref="Y16:AC16"/>
    <mergeCell ref="AD16:AO16"/>
    <mergeCell ref="AP16:AQ16"/>
    <mergeCell ref="AS16:AT16"/>
    <mergeCell ref="Y14:AC14"/>
    <mergeCell ref="AD14:AO14"/>
    <mergeCell ref="AP14:AQ14"/>
    <mergeCell ref="AS14:AT14"/>
    <mergeCell ref="G13:R13"/>
    <mergeCell ref="S13:T13"/>
    <mergeCell ref="V13:W13"/>
    <mergeCell ref="Y13:AC13"/>
    <mergeCell ref="AD13:AO13"/>
    <mergeCell ref="AP13:AQ13"/>
    <mergeCell ref="AS13:AT13"/>
    <mergeCell ref="AP12:AQ12"/>
    <mergeCell ref="AS12:AT12"/>
    <mergeCell ref="B3:U3"/>
    <mergeCell ref="V3:W3"/>
    <mergeCell ref="Y3:AR3"/>
    <mergeCell ref="AS3:AT3"/>
    <mergeCell ref="B4:F4"/>
    <mergeCell ref="G4:R4"/>
    <mergeCell ref="S4:T4"/>
    <mergeCell ref="Y7:AC7"/>
    <mergeCell ref="AD7:AO7"/>
    <mergeCell ref="AP7:AQ7"/>
    <mergeCell ref="AS7:AT7"/>
    <mergeCell ref="B6:F6"/>
    <mergeCell ref="G6:R6"/>
    <mergeCell ref="S6:T6"/>
    <mergeCell ref="V6:W6"/>
    <mergeCell ref="Y6:AC6"/>
    <mergeCell ref="AS6:AT6"/>
    <mergeCell ref="B5:F5"/>
    <mergeCell ref="G5:R5"/>
    <mergeCell ref="S5:T5"/>
    <mergeCell ref="V5:W5"/>
    <mergeCell ref="Y5:AC5"/>
    <mergeCell ref="AP5:AQ5"/>
    <mergeCell ref="AS5:AT5"/>
    <mergeCell ref="B11:F11"/>
    <mergeCell ref="G11:R11"/>
    <mergeCell ref="S11:T11"/>
    <mergeCell ref="V11:W11"/>
    <mergeCell ref="Y11:AC11"/>
    <mergeCell ref="AD11:AO11"/>
    <mergeCell ref="AP11:AQ11"/>
    <mergeCell ref="AS11:AT11"/>
    <mergeCell ref="G7:R7"/>
    <mergeCell ref="S7:T7"/>
    <mergeCell ref="V7:W7"/>
    <mergeCell ref="V4:W4"/>
    <mergeCell ref="Y4:AC4"/>
    <mergeCell ref="AD4:AO4"/>
    <mergeCell ref="AP4:AQ4"/>
    <mergeCell ref="AS4:AT4"/>
    <mergeCell ref="AV14:AZ14"/>
    <mergeCell ref="AV13:AZ13"/>
    <mergeCell ref="Y8:AC8"/>
    <mergeCell ref="AD8:AO8"/>
    <mergeCell ref="AP8:AQ8"/>
    <mergeCell ref="AS8:AT8"/>
    <mergeCell ref="V10:W10"/>
    <mergeCell ref="Y10:AC10"/>
    <mergeCell ref="AD10:AO10"/>
    <mergeCell ref="AP10:AQ10"/>
    <mergeCell ref="AS10:AT10"/>
    <mergeCell ref="V9:W9"/>
    <mergeCell ref="Y9:AC9"/>
    <mergeCell ref="AD9:AO9"/>
    <mergeCell ref="AP9:AQ9"/>
    <mergeCell ref="AS9:AT9"/>
    <mergeCell ref="V12:W12"/>
    <mergeCell ref="AD6:AO6"/>
    <mergeCell ref="AP6:AQ6"/>
    <mergeCell ref="V27:W27"/>
    <mergeCell ref="B28:F28"/>
    <mergeCell ref="B8:F8"/>
    <mergeCell ref="G8:R8"/>
    <mergeCell ref="S8:T8"/>
    <mergeCell ref="V8:W8"/>
    <mergeCell ref="AD5:AO5"/>
    <mergeCell ref="B10:F10"/>
    <mergeCell ref="G10:R10"/>
    <mergeCell ref="S10:T10"/>
    <mergeCell ref="B9:F9"/>
    <mergeCell ref="G9:R9"/>
    <mergeCell ref="S9:T9"/>
    <mergeCell ref="B12:F12"/>
    <mergeCell ref="G12:R12"/>
    <mergeCell ref="S12:T12"/>
    <mergeCell ref="Y12:AC12"/>
    <mergeCell ref="AD12:AO12"/>
    <mergeCell ref="B14:F14"/>
    <mergeCell ref="G14:R14"/>
    <mergeCell ref="S14:T14"/>
    <mergeCell ref="V14:W14"/>
    <mergeCell ref="B7:F7"/>
    <mergeCell ref="B13:F13"/>
    <mergeCell ref="G41:R41"/>
    <mergeCell ref="S41:T41"/>
    <mergeCell ref="V41:W41"/>
    <mergeCell ref="B42:F42"/>
    <mergeCell ref="G42:R42"/>
    <mergeCell ref="S42:T42"/>
    <mergeCell ref="B40:F40"/>
    <mergeCell ref="V42:W42"/>
    <mergeCell ref="B35:F35"/>
    <mergeCell ref="B34:F34"/>
    <mergeCell ref="S33:T33"/>
    <mergeCell ref="G33:R33"/>
    <mergeCell ref="B33:F33"/>
    <mergeCell ref="S32:T32"/>
    <mergeCell ref="G32:R32"/>
    <mergeCell ref="B32:F32"/>
    <mergeCell ref="S31:T31"/>
    <mergeCell ref="B27:U27"/>
    <mergeCell ref="G31:R31"/>
    <mergeCell ref="S34:T34"/>
    <mergeCell ref="G34:R34"/>
    <mergeCell ref="S30:T30"/>
    <mergeCell ref="G30:R30"/>
    <mergeCell ref="B30:F30"/>
    <mergeCell ref="AV3:BQ3"/>
    <mergeCell ref="AV5:AZ5"/>
    <mergeCell ref="BA5:BF5"/>
    <mergeCell ref="BG5:BK5"/>
    <mergeCell ref="BL5:BQ5"/>
    <mergeCell ref="AV6:AZ6"/>
    <mergeCell ref="BA6:BF6"/>
    <mergeCell ref="BG6:BK6"/>
    <mergeCell ref="BL6:BQ6"/>
    <mergeCell ref="AV19:AZ19"/>
    <mergeCell ref="BA7:BF7"/>
    <mergeCell ref="BG7:BK7"/>
    <mergeCell ref="BL7:BQ7"/>
    <mergeCell ref="BA8:BF8"/>
    <mergeCell ref="BG8:BK8"/>
    <mergeCell ref="BL8:BQ8"/>
    <mergeCell ref="BA9:BF9"/>
    <mergeCell ref="BG9:BK9"/>
    <mergeCell ref="BL9:BQ9"/>
    <mergeCell ref="AV8:AZ8"/>
    <mergeCell ref="AV7:AZ7"/>
    <mergeCell ref="BA10:BF10"/>
    <mergeCell ref="BG10:BK10"/>
    <mergeCell ref="BL10:BQ10"/>
    <mergeCell ref="BA11:BF11"/>
    <mergeCell ref="BG11:BK11"/>
    <mergeCell ref="AV10:AZ10"/>
    <mergeCell ref="BL11:BQ11"/>
    <mergeCell ref="BA12:BF12"/>
    <mergeCell ref="BG12:BK12"/>
    <mergeCell ref="BL12:BQ12"/>
    <mergeCell ref="BA13:BF13"/>
    <mergeCell ref="BG13:BK13"/>
    <mergeCell ref="A1:BR1"/>
    <mergeCell ref="Y27:AR27"/>
    <mergeCell ref="AS27:AT27"/>
    <mergeCell ref="Y28:AC28"/>
    <mergeCell ref="AD28:AO28"/>
    <mergeCell ref="AP28:AQ28"/>
    <mergeCell ref="AS28:AT28"/>
    <mergeCell ref="Y29:AC29"/>
    <mergeCell ref="AD29:AO29"/>
    <mergeCell ref="AP29:AQ29"/>
    <mergeCell ref="AS29:AT29"/>
    <mergeCell ref="AV17:AZ17"/>
    <mergeCell ref="BA17:BF17"/>
    <mergeCell ref="BG17:BK17"/>
    <mergeCell ref="BL17:BQ17"/>
    <mergeCell ref="AV18:AZ18"/>
    <mergeCell ref="BA18:BF18"/>
    <mergeCell ref="BG18:BK18"/>
    <mergeCell ref="BL18:BQ18"/>
    <mergeCell ref="AV4:BF4"/>
    <mergeCell ref="BG4:BQ4"/>
    <mergeCell ref="BA19:BF19"/>
    <mergeCell ref="BG19:BK19"/>
    <mergeCell ref="BL19:BQ19"/>
    <mergeCell ref="Y37:AC37"/>
    <mergeCell ref="AD37:AO37"/>
    <mergeCell ref="AP37:AQ37"/>
    <mergeCell ref="AS37:AT37"/>
    <mergeCell ref="Y38:AC38"/>
    <mergeCell ref="AD38:AO38"/>
    <mergeCell ref="AP38:AQ38"/>
    <mergeCell ref="AS38:AT38"/>
    <mergeCell ref="Y40:AC40"/>
    <mergeCell ref="AD40:AO40"/>
    <mergeCell ref="AP40:AQ40"/>
    <mergeCell ref="AS40:AT40"/>
    <mergeCell ref="AD48:AO48"/>
    <mergeCell ref="AP48:AQ48"/>
    <mergeCell ref="AS48:AT48"/>
    <mergeCell ref="Y41:AC41"/>
    <mergeCell ref="AD41:AO41"/>
    <mergeCell ref="AP41:AQ41"/>
    <mergeCell ref="AS41:AT41"/>
    <mergeCell ref="Y42:AC42"/>
    <mergeCell ref="AD42:AO42"/>
    <mergeCell ref="AP42:AQ42"/>
    <mergeCell ref="AS42:AT42"/>
    <mergeCell ref="Y43:AC43"/>
    <mergeCell ref="AD43:AO43"/>
    <mergeCell ref="AP43:AQ43"/>
    <mergeCell ref="AS43:AT43"/>
    <mergeCell ref="Y49:AC49"/>
    <mergeCell ref="AD49:AO49"/>
    <mergeCell ref="AP49:AQ49"/>
    <mergeCell ref="AS49:AT49"/>
    <mergeCell ref="Y51:AD51"/>
    <mergeCell ref="AE51:AF51"/>
    <mergeCell ref="AH51:AQ51"/>
    <mergeCell ref="AR51:AT51"/>
    <mergeCell ref="AV28:AZ28"/>
    <mergeCell ref="AV31:AZ31"/>
    <mergeCell ref="AV34:AZ34"/>
    <mergeCell ref="AV37:AZ37"/>
    <mergeCell ref="AV40:AZ40"/>
    <mergeCell ref="AV43:AZ43"/>
    <mergeCell ref="AV51:AZ51"/>
    <mergeCell ref="Y44:AC44"/>
    <mergeCell ref="AD44:AO44"/>
    <mergeCell ref="AP44:AQ44"/>
    <mergeCell ref="AS44:AT44"/>
    <mergeCell ref="Y45:AC45"/>
    <mergeCell ref="AD45:AO45"/>
    <mergeCell ref="AP45:AQ45"/>
    <mergeCell ref="AS45:AT45"/>
    <mergeCell ref="Y48:AC48"/>
    <mergeCell ref="BA28:BF28"/>
    <mergeCell ref="BG28:BK28"/>
    <mergeCell ref="BL28:BQ28"/>
    <mergeCell ref="AV29:AZ29"/>
    <mergeCell ref="BA29:BF29"/>
    <mergeCell ref="BG29:BK29"/>
    <mergeCell ref="BL29:BQ29"/>
    <mergeCell ref="AV30:AZ30"/>
    <mergeCell ref="BA30:BF30"/>
    <mergeCell ref="BG30:BK30"/>
    <mergeCell ref="BL30:BQ30"/>
    <mergeCell ref="BA31:BF31"/>
    <mergeCell ref="BG31:BK31"/>
    <mergeCell ref="BL31:BQ31"/>
    <mergeCell ref="AV32:AZ32"/>
    <mergeCell ref="BA32:BF32"/>
    <mergeCell ref="BG32:BK32"/>
    <mergeCell ref="BL32:BQ32"/>
    <mergeCell ref="AV33:AZ33"/>
    <mergeCell ref="BA33:BF33"/>
    <mergeCell ref="BG33:BK33"/>
    <mergeCell ref="BL33:BQ33"/>
    <mergeCell ref="BA34:BF34"/>
    <mergeCell ref="BG34:BK34"/>
    <mergeCell ref="BL34:BQ34"/>
    <mergeCell ref="AV35:AZ35"/>
    <mergeCell ref="BA35:BF35"/>
    <mergeCell ref="BG35:BK35"/>
    <mergeCell ref="BL35:BQ35"/>
    <mergeCell ref="AV36:AZ36"/>
    <mergeCell ref="BA36:BF36"/>
    <mergeCell ref="BG36:BK36"/>
    <mergeCell ref="BL36:BQ36"/>
    <mergeCell ref="BA37:BF37"/>
    <mergeCell ref="BG37:BK37"/>
    <mergeCell ref="BL37:BQ37"/>
    <mergeCell ref="AV38:AZ38"/>
    <mergeCell ref="BA38:BF38"/>
    <mergeCell ref="BG38:BK38"/>
    <mergeCell ref="BL38:BQ38"/>
    <mergeCell ref="AV39:AZ39"/>
    <mergeCell ref="BA39:BF39"/>
    <mergeCell ref="BG39:BK39"/>
    <mergeCell ref="BL39:BQ39"/>
    <mergeCell ref="BA40:BF40"/>
    <mergeCell ref="BG40:BK40"/>
    <mergeCell ref="BL40:BQ40"/>
    <mergeCell ref="AV41:AZ41"/>
    <mergeCell ref="BA41:BF41"/>
    <mergeCell ref="BG41:BK41"/>
    <mergeCell ref="BL41:BQ41"/>
    <mergeCell ref="AV42:AZ42"/>
    <mergeCell ref="BA42:BF42"/>
    <mergeCell ref="BG42:BK42"/>
    <mergeCell ref="BL42:BQ42"/>
    <mergeCell ref="BA43:BF43"/>
    <mergeCell ref="BG43:BK43"/>
    <mergeCell ref="BL43:BQ43"/>
    <mergeCell ref="AV44:AZ44"/>
    <mergeCell ref="BA44:BF44"/>
    <mergeCell ref="BG44:BK44"/>
    <mergeCell ref="BL44:BQ44"/>
    <mergeCell ref="AV45:AZ45"/>
    <mergeCell ref="BA45:BF45"/>
    <mergeCell ref="BG45:BK45"/>
    <mergeCell ref="BL45:BQ45"/>
    <mergeCell ref="BA51:BF51"/>
    <mergeCell ref="BG51:BK51"/>
    <mergeCell ref="BL51:BQ51"/>
    <mergeCell ref="AV48:AZ48"/>
    <mergeCell ref="BA48:BF48"/>
    <mergeCell ref="BG48:BK48"/>
    <mergeCell ref="BL48:BQ48"/>
    <mergeCell ref="AV49:AZ49"/>
    <mergeCell ref="BA49:BF49"/>
    <mergeCell ref="BG49:BK49"/>
    <mergeCell ref="BL49:BQ49"/>
    <mergeCell ref="AV50:AZ50"/>
    <mergeCell ref="BA50:BF50"/>
    <mergeCell ref="BG50:BK50"/>
    <mergeCell ref="BL50:BQ50"/>
  </mergeCells>
  <phoneticPr fontId="49" type="noConversion"/>
  <dataValidations count="4">
    <dataValidation type="list" allowBlank="1" showInputMessage="1" showErrorMessage="1" sqref="V27:W27 AS27:AT27" xr:uid="{00000000-0002-0000-0500-000000000000}">
      <formula1>"无效,有效"</formula1>
    </dataValidation>
    <dataValidation allowBlank="1" showInputMessage="1" showErrorMessage="1" promptTitle="使用公式决定收支" prompt="在下列栏目中输入入账和出账，即可自动计算收支，银币和铜币请填写为小数，例如0.1为1银币，0.01为1铜币。_x000a__x000a_栏目不足时，可以从合计结余处开始选中整行并框出更多所需行数→右键→插入→活动单元格下移，下方公式会自动计入新增的格子。选中已有格子并右键使用格式刷即可完善格式统一。" sqref="AV3:BQ3" xr:uid="{4178BA26-1F40-43AC-90D5-64FD7C3F9440}"/>
    <dataValidation allowBlank="1" showErrorMessage="1" sqref="BG4:BM4" xr:uid="{03BF6C47-2A4E-41DC-8AF3-FAFB6F78C432}"/>
    <dataValidation type="decimal" errorStyle="information" allowBlank="1" showInputMessage="1" showErrorMessage="1" errorTitle="温馨提示：不要填写单位" error="使用公式决定金钱只需填写数字，请勿填写如gp这样的单位，银币和铜币可以填写在小数点后，每0.1即是1银币，每0.01即是1铜币。_x000a_使用文字记录非钱币资源不会影响公式，如需继续请点击确定或敲一下回车即可。" sqref="BL6:BQ51 BA6:BB51" xr:uid="{483BC05C-8FB5-45CC-9205-EA61417EBBB4}">
      <formula1>0</formula1>
      <formula2>9.9999E+307</formula2>
    </dataValidation>
  </dataValidations>
  <pageMargins left="0.75" right="0.75" top="1" bottom="1" header="0.51180555555555596" footer="0.51180555555555596"/>
  <extLst>
    <ext xmlns:x14="http://schemas.microsoft.com/office/spreadsheetml/2009/9/main" uri="{CCE6A557-97BC-4b89-ADB6-D9C93CAAB3DF}">
      <x14:dataValidations xmlns:xm="http://schemas.microsoft.com/office/excel/2006/main" count="41">
        <x14:dataValidation type="list" allowBlank="1" showInputMessage="1" showErrorMessage="1" xr:uid="{6505E2E0-084B-415E-BDAD-E424A7303756}">
          <x14:formula1>
            <xm:f>数据表!$CR$2</xm:f>
          </x14:formula1>
          <xm:sqref>S5:T5</xm:sqref>
        </x14:dataValidation>
        <x14:dataValidation type="list" allowBlank="1" showInputMessage="1" showErrorMessage="1" xr:uid="{45C80C2C-A581-4535-B40C-981CF8945404}">
          <x14:formula1>
            <xm:f>数据表!$CR$3</xm:f>
          </x14:formula1>
          <xm:sqref>S6:T6</xm:sqref>
        </x14:dataValidation>
        <x14:dataValidation type="list" allowBlank="1" showInputMessage="1" showErrorMessage="1" xr:uid="{AEDCFAE9-0769-4C2B-9E85-6EAD90515611}">
          <x14:formula1>
            <xm:f>数据表!$CR$4</xm:f>
          </x14:formula1>
          <xm:sqref>S7:T7</xm:sqref>
        </x14:dataValidation>
        <x14:dataValidation type="list" allowBlank="1" showInputMessage="1" showErrorMessage="1" xr:uid="{F92BE562-4339-46E0-862F-FF77D28A79C3}">
          <x14:formula1>
            <xm:f>数据表!$CR$5</xm:f>
          </x14:formula1>
          <xm:sqref>S8:T8</xm:sqref>
        </x14:dataValidation>
        <x14:dataValidation type="list" allowBlank="1" showInputMessage="1" showErrorMessage="1" xr:uid="{CB71B12B-3634-4512-8780-AA5BF5A7B452}">
          <x14:formula1>
            <xm:f>数据表!$CR$6</xm:f>
          </x14:formula1>
          <xm:sqref>S9:T9</xm:sqref>
        </x14:dataValidation>
        <x14:dataValidation type="list" allowBlank="1" showInputMessage="1" showErrorMessage="1" xr:uid="{E98868F7-434B-4444-9B75-1077F8DB57A6}">
          <x14:formula1>
            <xm:f>数据表!$CR$7</xm:f>
          </x14:formula1>
          <xm:sqref>S10:T10</xm:sqref>
        </x14:dataValidation>
        <x14:dataValidation type="list" allowBlank="1" showInputMessage="1" showErrorMessage="1" xr:uid="{B3F1279E-25FF-40A4-946E-E8642952172C}">
          <x14:formula1>
            <xm:f>数据表!$CR$8</xm:f>
          </x14:formula1>
          <xm:sqref>S11:T11</xm:sqref>
        </x14:dataValidation>
        <x14:dataValidation type="list" allowBlank="1" showInputMessage="1" showErrorMessage="1" xr:uid="{743083D5-F660-4EA6-8A04-35FA8D996EF7}">
          <x14:formula1>
            <xm:f>数据表!$CR$9</xm:f>
          </x14:formula1>
          <xm:sqref>S12:T12</xm:sqref>
        </x14:dataValidation>
        <x14:dataValidation type="list" allowBlank="1" showInputMessage="1" showErrorMessage="1" xr:uid="{D1C4ABF8-C08C-497C-A5ED-F233969A2F4F}">
          <x14:formula1>
            <xm:f>数据表!$CR$10</xm:f>
          </x14:formula1>
          <xm:sqref>S13:T13</xm:sqref>
        </x14:dataValidation>
        <x14:dataValidation type="list" allowBlank="1" showInputMessage="1" showErrorMessage="1" xr:uid="{9FACDA00-B9B1-4948-A34C-BB1A3FE6AA8F}">
          <x14:formula1>
            <xm:f>数据表!$CR$11</xm:f>
          </x14:formula1>
          <xm:sqref>S14:T14</xm:sqref>
        </x14:dataValidation>
        <x14:dataValidation type="list" allowBlank="1" showInputMessage="1" showErrorMessage="1" xr:uid="{984FA144-55CE-4C9D-8088-EC2A29A2478E}">
          <x14:formula1>
            <xm:f>数据表!$CR$13</xm:f>
          </x14:formula1>
          <xm:sqref>S16:T16</xm:sqref>
        </x14:dataValidation>
        <x14:dataValidation type="list" allowBlank="1" showInputMessage="1" showErrorMessage="1" xr:uid="{0DC9C85F-501C-4A3C-A75E-BCD070D123B9}">
          <x14:formula1>
            <xm:f>数据表!$CR$14</xm:f>
          </x14:formula1>
          <xm:sqref>S17:T17</xm:sqref>
        </x14:dataValidation>
        <x14:dataValidation type="list" allowBlank="1" showInputMessage="1" showErrorMessage="1" xr:uid="{F6DA345E-1582-4442-9CC5-192582707A41}">
          <x14:formula1>
            <xm:f>数据表!$CR$15</xm:f>
          </x14:formula1>
          <xm:sqref>S18:T18</xm:sqref>
        </x14:dataValidation>
        <x14:dataValidation type="list" allowBlank="1" showInputMessage="1" showErrorMessage="1" xr:uid="{E5EEC8BD-FB83-479E-8D36-47F0430D1093}">
          <x14:formula1>
            <xm:f>数据表!$CR$16</xm:f>
          </x14:formula1>
          <xm:sqref>S19:T19</xm:sqref>
        </x14:dataValidation>
        <x14:dataValidation type="list" allowBlank="1" showInputMessage="1" showErrorMessage="1" xr:uid="{97CDE3C7-3572-4F8E-9804-F1D09DFF4358}">
          <x14:formula1>
            <xm:f>数据表!$CR$17</xm:f>
          </x14:formula1>
          <xm:sqref>S20:T20</xm:sqref>
        </x14:dataValidation>
        <x14:dataValidation type="list" allowBlank="1" showInputMessage="1" showErrorMessage="1" xr:uid="{3B74FAFA-7FD2-47B0-A0AD-55F0F4200BEF}">
          <x14:formula1>
            <xm:f>数据表!$CR$18</xm:f>
          </x14:formula1>
          <xm:sqref>S21:T21</xm:sqref>
        </x14:dataValidation>
        <x14:dataValidation type="list" allowBlank="1" showInputMessage="1" showErrorMessage="1" xr:uid="{CA71F572-CB3C-4ACC-91DF-4D5A123B4008}">
          <x14:formula1>
            <xm:f>数据表!$CR$19</xm:f>
          </x14:formula1>
          <xm:sqref>S22:T22</xm:sqref>
        </x14:dataValidation>
        <x14:dataValidation type="list" allowBlank="1" showInputMessage="1" showErrorMessage="1" xr:uid="{610AC746-1211-4290-BA93-3FA101A86F64}">
          <x14:formula1>
            <xm:f>数据表!$CR$20</xm:f>
          </x14:formula1>
          <xm:sqref>S23:T23</xm:sqref>
        </x14:dataValidation>
        <x14:dataValidation type="list" allowBlank="1" showInputMessage="1" showErrorMessage="1" xr:uid="{A67574EC-873D-49A6-88E4-3197025B1A77}">
          <x14:formula1>
            <xm:f>数据表!$CR$21</xm:f>
          </x14:formula1>
          <xm:sqref>S24:T24</xm:sqref>
        </x14:dataValidation>
        <x14:dataValidation type="list" allowBlank="1" showInputMessage="1" showErrorMessage="1" xr:uid="{35D9740C-FC9F-4705-9F1C-8B3C0B31B87E}">
          <x14:formula1>
            <xm:f>数据表!$CR$22</xm:f>
          </x14:formula1>
          <xm:sqref>S25:T25</xm:sqref>
        </x14:dataValidation>
        <x14:dataValidation type="list" allowBlank="1" showInputMessage="1" xr:uid="{BEADCFF8-E507-4FBE-9F31-EF6C7DEA0901}">
          <x14:formula1>
            <xm:f>数据表!$CL$2</xm:f>
          </x14:formula1>
          <xm:sqref>G5:R5</xm:sqref>
        </x14:dataValidation>
        <x14:dataValidation type="list" allowBlank="1" showInputMessage="1" xr:uid="{E9F511C3-3B1C-405B-933F-B306B3DDB39F}">
          <x14:formula1>
            <xm:f>数据表!$CL$3</xm:f>
          </x14:formula1>
          <xm:sqref>G6:R6</xm:sqref>
        </x14:dataValidation>
        <x14:dataValidation type="list" allowBlank="1" showInputMessage="1" xr:uid="{8D172B75-E157-4F84-8B5D-19460E3D0268}">
          <x14:formula1>
            <xm:f>数据表!$CL$4</xm:f>
          </x14:formula1>
          <xm:sqref>G7:R7</xm:sqref>
        </x14:dataValidation>
        <x14:dataValidation type="list" allowBlank="1" showInputMessage="1" xr:uid="{86B88AD9-98AA-4724-91CA-7A5EBB2E3A3E}">
          <x14:formula1>
            <xm:f>数据表!$CL$5</xm:f>
          </x14:formula1>
          <xm:sqref>G8:R8</xm:sqref>
        </x14:dataValidation>
        <x14:dataValidation type="list" allowBlank="1" showInputMessage="1" xr:uid="{D9E10D1B-E470-46E5-9142-1E9103D79022}">
          <x14:formula1>
            <xm:f>数据表!$CL$6</xm:f>
          </x14:formula1>
          <xm:sqref>G9:R9</xm:sqref>
        </x14:dataValidation>
        <x14:dataValidation type="list" allowBlank="1" showInputMessage="1" xr:uid="{1DC6798F-4363-4C02-AF88-8E2667486828}">
          <x14:formula1>
            <xm:f>数据表!$CL$7</xm:f>
          </x14:formula1>
          <xm:sqref>G10:R10</xm:sqref>
        </x14:dataValidation>
        <x14:dataValidation type="list" allowBlank="1" showInputMessage="1" xr:uid="{94BC34A5-52C3-499D-B3CB-887C6C2F195B}">
          <x14:formula1>
            <xm:f>数据表!$CL$8</xm:f>
          </x14:formula1>
          <xm:sqref>G11:R11</xm:sqref>
        </x14:dataValidation>
        <x14:dataValidation type="list" allowBlank="1" showInputMessage="1" xr:uid="{14F99BE0-DDBF-4A0D-B789-736FB54D6F47}">
          <x14:formula1>
            <xm:f>数据表!$CL$9</xm:f>
          </x14:formula1>
          <xm:sqref>G12:R12</xm:sqref>
        </x14:dataValidation>
        <x14:dataValidation type="list" allowBlank="1" showInputMessage="1" xr:uid="{274C872B-15C7-4C78-A947-763BF34E92F6}">
          <x14:formula1>
            <xm:f>数据表!$CL$10</xm:f>
          </x14:formula1>
          <xm:sqref>G13:R13</xm:sqref>
        </x14:dataValidation>
        <x14:dataValidation type="list" allowBlank="1" showInputMessage="1" xr:uid="{16A1A958-E787-4F83-965B-F0FD9FD9F07B}">
          <x14:formula1>
            <xm:f>数据表!$CL$11</xm:f>
          </x14:formula1>
          <xm:sqref>G14:R14</xm:sqref>
        </x14:dataValidation>
        <x14:dataValidation type="list" allowBlank="1" showInputMessage="1" xr:uid="{52BC0914-F641-49EC-8DDB-F477B449369B}">
          <x14:formula1>
            <xm:f>数据表!$CL$13</xm:f>
          </x14:formula1>
          <xm:sqref>G16:R16</xm:sqref>
        </x14:dataValidation>
        <x14:dataValidation type="list" allowBlank="1" showInputMessage="1" xr:uid="{6D5EB610-64F1-4078-9717-6AD8E775103B}">
          <x14:formula1>
            <xm:f>数据表!$CL$14</xm:f>
          </x14:formula1>
          <xm:sqref>G17:R17</xm:sqref>
        </x14:dataValidation>
        <x14:dataValidation type="list" allowBlank="1" showInputMessage="1" xr:uid="{889B5CF1-F99D-4037-9901-790437F67EEF}">
          <x14:formula1>
            <xm:f>数据表!$CL$15</xm:f>
          </x14:formula1>
          <xm:sqref>G18:R18</xm:sqref>
        </x14:dataValidation>
        <x14:dataValidation type="list" allowBlank="1" showInputMessage="1" xr:uid="{DB219017-1214-4E56-AC0E-B140C3577386}">
          <x14:formula1>
            <xm:f>数据表!$CL$16</xm:f>
          </x14:formula1>
          <xm:sqref>G19:R19</xm:sqref>
        </x14:dataValidation>
        <x14:dataValidation type="list" allowBlank="1" showInputMessage="1" xr:uid="{A1DAA708-EF22-4227-B6EE-56006D51B821}">
          <x14:formula1>
            <xm:f>数据表!$CL$17</xm:f>
          </x14:formula1>
          <xm:sqref>G20:R20</xm:sqref>
        </x14:dataValidation>
        <x14:dataValidation type="list" allowBlank="1" showInputMessage="1" xr:uid="{786E15E7-F03F-4483-9D2E-7E5682F16070}">
          <x14:formula1>
            <xm:f>数据表!$CL$18</xm:f>
          </x14:formula1>
          <xm:sqref>G21:R21</xm:sqref>
        </x14:dataValidation>
        <x14:dataValidation type="list" allowBlank="1" showInputMessage="1" xr:uid="{07C5C438-3933-49D5-8D66-4C215266807E}">
          <x14:formula1>
            <xm:f>数据表!$CL$19</xm:f>
          </x14:formula1>
          <xm:sqref>G22:R22</xm:sqref>
        </x14:dataValidation>
        <x14:dataValidation type="list" allowBlank="1" showInputMessage="1" xr:uid="{EB82C765-BA03-4891-A95E-46DB09D877E2}">
          <x14:formula1>
            <xm:f>数据表!$CL$20</xm:f>
          </x14:formula1>
          <xm:sqref>G23:R23</xm:sqref>
        </x14:dataValidation>
        <x14:dataValidation type="list" allowBlank="1" showInputMessage="1" xr:uid="{9FBB119F-137D-4FD1-953B-EB9813D267B0}">
          <x14:formula1>
            <xm:f>数据表!$CL$21</xm:f>
          </x14:formula1>
          <xm:sqref>G24:R24</xm:sqref>
        </x14:dataValidation>
        <x14:dataValidation type="list" allowBlank="1" showInputMessage="1" xr:uid="{4E92317F-13A9-413E-BF61-6B6B1B86E0B4}">
          <x14:formula1>
            <xm:f>数据表!$CL$22</xm:f>
          </x14:formula1>
          <xm:sqref>G25:R25</xm:sqref>
        </x14:dataValidation>
        <x14:dataValidation type="list" allowBlank="1" showInputMessage="1" xr:uid="{3B4A6D10-1A8E-4339-8C26-5C3D873506B7}">
          <x14:formula1>
            <xm:f>数据表!$CN$1:$CN$146</xm:f>
          </x14:formula1>
          <xm:sqref>B16:F25 B5:F14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972E-1A85-4E18-BE1F-A5A571C4DA79}">
  <sheetPr codeName="Sheet13">
    <tabColor theme="5" tint="-0.249977111117893"/>
  </sheetPr>
  <dimension ref="A1:CJ52"/>
  <sheetViews>
    <sheetView workbookViewId="0">
      <selection activeCell="AE97" sqref="AE97:AI97"/>
    </sheetView>
  </sheetViews>
  <sheetFormatPr defaultColWidth="2.33203125" defaultRowHeight="14.4"/>
  <cols>
    <col min="1" max="1" width="2.33203125" style="286" customWidth="1"/>
    <col min="2" max="16384" width="2.33203125" style="286"/>
  </cols>
  <sheetData>
    <row r="1" spans="1:88" ht="16.95" customHeight="1">
      <c r="A1" s="894" t="s">
        <v>5960</v>
      </c>
      <c r="B1" s="894"/>
      <c r="C1" s="894"/>
      <c r="D1" s="894"/>
      <c r="E1" s="894"/>
      <c r="F1" s="894"/>
      <c r="G1" s="894"/>
      <c r="H1" s="894"/>
      <c r="I1" s="894"/>
      <c r="J1" s="894"/>
      <c r="K1" s="894"/>
      <c r="L1" s="894"/>
      <c r="M1" s="894"/>
      <c r="N1" s="894"/>
      <c r="O1" s="894"/>
      <c r="P1" s="894"/>
      <c r="Q1" s="894"/>
      <c r="R1" s="894"/>
      <c r="S1" s="894"/>
      <c r="T1" s="894"/>
      <c r="U1" s="894"/>
      <c r="V1" s="894"/>
      <c r="W1" s="894"/>
      <c r="X1" s="894"/>
      <c r="Y1" s="894"/>
      <c r="Z1" s="894"/>
      <c r="AA1" s="894"/>
      <c r="AB1" s="894"/>
      <c r="AC1" s="894"/>
      <c r="AD1" s="894"/>
      <c r="AE1" s="894"/>
      <c r="AF1" s="894"/>
      <c r="AG1" s="894"/>
      <c r="AH1" s="894"/>
      <c r="AI1" s="894"/>
      <c r="AJ1" s="894"/>
      <c r="AK1" s="894"/>
      <c r="AL1" s="894"/>
      <c r="AM1" s="894"/>
      <c r="AN1" s="894"/>
      <c r="AO1" s="894"/>
      <c r="AP1" s="894"/>
      <c r="AQ1" s="894"/>
      <c r="AR1" s="894"/>
      <c r="AT1" s="895" t="s">
        <v>2947</v>
      </c>
      <c r="AU1" s="895"/>
      <c r="AV1" s="895"/>
      <c r="AW1" s="895"/>
      <c r="AX1" s="895"/>
      <c r="AY1" s="895"/>
      <c r="AZ1" s="895"/>
      <c r="BA1" s="895"/>
      <c r="BB1" s="895"/>
      <c r="BC1" s="895"/>
      <c r="BD1" s="895"/>
      <c r="BE1" s="895"/>
      <c r="BF1" s="895"/>
      <c r="BG1" s="895"/>
      <c r="BH1" s="895"/>
      <c r="BI1" s="895"/>
      <c r="BJ1" s="895"/>
      <c r="BK1" s="895"/>
      <c r="BL1" s="895"/>
      <c r="BM1" s="895"/>
      <c r="BN1" s="895"/>
      <c r="BO1" s="895"/>
      <c r="BP1" s="895"/>
      <c r="BQ1" s="895"/>
      <c r="BR1" s="895"/>
      <c r="BS1" s="895"/>
      <c r="BT1" s="895"/>
      <c r="BU1" s="895"/>
      <c r="BV1" s="895"/>
      <c r="BW1" s="895"/>
      <c r="BX1" s="895"/>
      <c r="BY1" s="895"/>
      <c r="BZ1" s="895"/>
      <c r="CA1" s="895"/>
      <c r="CB1" s="895"/>
      <c r="CC1" s="895"/>
      <c r="CD1" s="895"/>
      <c r="CE1" s="895"/>
      <c r="CF1" s="895"/>
      <c r="CG1" s="895"/>
      <c r="CH1" s="895"/>
      <c r="CI1" s="895"/>
      <c r="CJ1" s="895"/>
    </row>
    <row r="2" spans="1:88" ht="16.95" customHeight="1">
      <c r="AE2" s="287" t="s">
        <v>36</v>
      </c>
      <c r="AF2" s="288"/>
      <c r="AG2" s="288"/>
      <c r="AH2" s="888" t="s">
        <v>42</v>
      </c>
      <c r="AI2" s="888"/>
      <c r="AJ2" s="288"/>
      <c r="AK2" s="888" t="s">
        <v>46</v>
      </c>
      <c r="AL2" s="888"/>
      <c r="AM2" s="888" t="s">
        <v>47</v>
      </c>
      <c r="AN2" s="888"/>
      <c r="AO2" s="289"/>
      <c r="AP2" s="888" t="s">
        <v>45</v>
      </c>
      <c r="AQ2" s="888"/>
      <c r="AU2" s="290"/>
      <c r="AV2" s="290"/>
      <c r="AW2" s="290"/>
      <c r="AX2" s="290"/>
      <c r="AY2" s="290"/>
      <c r="AZ2" s="290"/>
      <c r="BA2" s="290"/>
      <c r="BB2" s="291"/>
      <c r="BC2" s="291"/>
      <c r="BD2" s="291"/>
      <c r="BE2" s="291"/>
      <c r="BF2" s="291"/>
      <c r="BG2" s="291"/>
      <c r="BH2" s="291"/>
      <c r="BI2" s="291"/>
      <c r="BJ2" s="291"/>
      <c r="BK2" s="291"/>
      <c r="BL2" s="291"/>
      <c r="BM2" s="291"/>
      <c r="BN2" s="290"/>
    </row>
    <row r="3" spans="1:88" ht="16.95" customHeight="1">
      <c r="B3" s="845" t="s">
        <v>5961</v>
      </c>
      <c r="C3" s="862"/>
      <c r="D3" s="846"/>
      <c r="E3" s="857"/>
      <c r="F3" s="858"/>
      <c r="G3" s="858"/>
      <c r="H3" s="858"/>
      <c r="I3" s="858"/>
      <c r="J3" s="858"/>
      <c r="K3" s="858"/>
      <c r="L3" s="858"/>
      <c r="M3" s="858"/>
      <c r="N3" s="858"/>
      <c r="O3" s="858"/>
      <c r="P3" s="858"/>
      <c r="Q3" s="858"/>
      <c r="R3" s="859"/>
      <c r="U3" s="845" t="s">
        <v>61</v>
      </c>
      <c r="V3" s="846"/>
      <c r="W3" s="854"/>
      <c r="X3" s="854"/>
      <c r="Y3" s="854"/>
      <c r="Z3" s="866" t="s">
        <v>36</v>
      </c>
      <c r="AA3" s="866"/>
      <c r="AB3" s="896">
        <v>2</v>
      </c>
      <c r="AC3" s="896"/>
      <c r="AE3" s="292" t="s">
        <v>4020</v>
      </c>
      <c r="AF3" s="852" t="s">
        <v>48</v>
      </c>
      <c r="AG3" s="853"/>
      <c r="AH3" s="854">
        <v>10</v>
      </c>
      <c r="AI3" s="854"/>
      <c r="AJ3" s="293" t="s">
        <v>49</v>
      </c>
      <c r="AK3" s="855">
        <f t="shared" ref="AK3:AK8" si="0">INT(AH3/2-5)</f>
        <v>0</v>
      </c>
      <c r="AL3" s="855"/>
      <c r="AM3" s="856">
        <f>INT(AH3/2-5)+IF(AE3="O",#REF!,0)+AP3</f>
        <v>0</v>
      </c>
      <c r="AN3" s="856"/>
      <c r="AO3" s="294" t="s">
        <v>40</v>
      </c>
      <c r="AP3" s="869"/>
      <c r="AQ3" s="869"/>
      <c r="AU3" s="845" t="s">
        <v>2948</v>
      </c>
      <c r="AV3" s="862"/>
      <c r="AW3" s="846"/>
      <c r="AX3" s="857"/>
      <c r="AY3" s="858"/>
      <c r="AZ3" s="858"/>
      <c r="BA3" s="858"/>
      <c r="BB3" s="859"/>
      <c r="BD3" s="866" t="s">
        <v>23</v>
      </c>
      <c r="BE3" s="866"/>
      <c r="BF3" s="866"/>
      <c r="BG3" s="854"/>
      <c r="BH3" s="854"/>
      <c r="BI3" s="854"/>
      <c r="BJ3" s="854"/>
      <c r="BK3" s="854"/>
      <c r="BM3" s="845" t="s">
        <v>59</v>
      </c>
      <c r="BN3" s="862"/>
      <c r="BO3" s="857"/>
      <c r="BP3" s="858"/>
      <c r="BQ3" s="858"/>
      <c r="BR3" s="295" t="s">
        <v>60</v>
      </c>
      <c r="BS3" s="858"/>
      <c r="BT3" s="858"/>
      <c r="BU3" s="859"/>
      <c r="BW3" s="845" t="s">
        <v>61</v>
      </c>
      <c r="BX3" s="846"/>
      <c r="BY3" s="854"/>
      <c r="BZ3" s="854"/>
      <c r="CA3" s="854"/>
      <c r="CB3" s="866" t="s">
        <v>5962</v>
      </c>
      <c r="CC3" s="866"/>
      <c r="CD3" s="854"/>
      <c r="CE3" s="871"/>
      <c r="CF3" s="866" t="s">
        <v>36</v>
      </c>
      <c r="CG3" s="866"/>
      <c r="CH3" s="896">
        <f>IFERROR(VLOOKUP(CD3,数据表!CI69:CJ102,2,FALSE),0)</f>
        <v>2</v>
      </c>
      <c r="CI3" s="896"/>
      <c r="CJ3" s="896"/>
    </row>
    <row r="4" spans="1:88" ht="16.95" customHeight="1">
      <c r="B4" s="845" t="s">
        <v>5963</v>
      </c>
      <c r="C4" s="862"/>
      <c r="D4" s="846"/>
      <c r="E4" s="882"/>
      <c r="F4" s="883"/>
      <c r="G4" s="883"/>
      <c r="H4" s="883"/>
      <c r="I4" s="883"/>
      <c r="J4" s="883"/>
      <c r="K4" s="883"/>
      <c r="L4" s="883"/>
      <c r="M4" s="883"/>
      <c r="N4" s="883"/>
      <c r="O4" s="883"/>
      <c r="P4" s="883"/>
      <c r="Q4" s="883"/>
      <c r="R4" s="884"/>
      <c r="U4" s="845" t="s">
        <v>68</v>
      </c>
      <c r="V4" s="846"/>
      <c r="W4" s="889"/>
      <c r="X4" s="890"/>
      <c r="Y4" s="890"/>
      <c r="Z4" s="890"/>
      <c r="AA4" s="890"/>
      <c r="AB4" s="890"/>
      <c r="AC4" s="891"/>
      <c r="AE4" s="292" t="s">
        <v>4020</v>
      </c>
      <c r="AF4" s="852" t="s">
        <v>50</v>
      </c>
      <c r="AG4" s="853"/>
      <c r="AH4" s="854">
        <v>10</v>
      </c>
      <c r="AI4" s="854"/>
      <c r="AJ4" s="293" t="s">
        <v>49</v>
      </c>
      <c r="AK4" s="855">
        <f t="shared" si="0"/>
        <v>0</v>
      </c>
      <c r="AL4" s="855"/>
      <c r="AM4" s="856">
        <f>INT(AH4/2-5)+IF(AE4="O",AB3,0)+AP4</f>
        <v>0</v>
      </c>
      <c r="AN4" s="856"/>
      <c r="AO4" s="294" t="s">
        <v>40</v>
      </c>
      <c r="AP4" s="869"/>
      <c r="AQ4" s="869"/>
      <c r="AU4" s="845" t="s">
        <v>5964</v>
      </c>
      <c r="AV4" s="862"/>
      <c r="AW4" s="846"/>
      <c r="AX4" s="882"/>
      <c r="AY4" s="883"/>
      <c r="AZ4" s="883"/>
      <c r="BA4" s="883"/>
      <c r="BB4" s="884"/>
      <c r="BD4" s="866" t="s">
        <v>67</v>
      </c>
      <c r="BE4" s="866"/>
      <c r="BF4" s="866"/>
      <c r="BG4" s="885"/>
      <c r="BH4" s="885"/>
      <c r="BI4" s="885"/>
      <c r="BJ4" s="885"/>
      <c r="BK4" s="885"/>
      <c r="BL4" s="291"/>
      <c r="BM4" s="845" t="s">
        <v>62</v>
      </c>
      <c r="BN4" s="862"/>
      <c r="BO4" s="871"/>
      <c r="BP4" s="872"/>
      <c r="BQ4" s="295" t="s">
        <v>60</v>
      </c>
      <c r="BR4" s="872"/>
      <c r="BS4" s="872"/>
      <c r="BT4" s="892"/>
      <c r="BU4" s="893"/>
      <c r="BW4" s="845" t="s">
        <v>68</v>
      </c>
      <c r="BX4" s="846"/>
      <c r="BY4" s="889"/>
      <c r="BZ4" s="890"/>
      <c r="CA4" s="890"/>
      <c r="CB4" s="890"/>
      <c r="CC4" s="890"/>
      <c r="CD4" s="890"/>
      <c r="CE4" s="890"/>
      <c r="CF4" s="866"/>
      <c r="CG4" s="866"/>
      <c r="CH4" s="896"/>
      <c r="CI4" s="896"/>
      <c r="CJ4" s="896"/>
    </row>
    <row r="5" spans="1:88" ht="16.95" customHeight="1">
      <c r="B5" s="845" t="s">
        <v>5965</v>
      </c>
      <c r="C5" s="862"/>
      <c r="D5" s="846"/>
      <c r="E5" s="857"/>
      <c r="F5" s="858"/>
      <c r="G5" s="858"/>
      <c r="H5" s="858"/>
      <c r="I5" s="858"/>
      <c r="J5" s="858"/>
      <c r="K5" s="858"/>
      <c r="L5" s="858"/>
      <c r="M5" s="858"/>
      <c r="N5" s="858"/>
      <c r="O5" s="858"/>
      <c r="P5" s="858"/>
      <c r="Q5" s="858"/>
      <c r="R5" s="859"/>
      <c r="AE5" s="292" t="s">
        <v>4020</v>
      </c>
      <c r="AF5" s="852" t="s">
        <v>51</v>
      </c>
      <c r="AG5" s="853"/>
      <c r="AH5" s="854">
        <v>10</v>
      </c>
      <c r="AI5" s="854"/>
      <c r="AJ5" s="293" t="s">
        <v>49</v>
      </c>
      <c r="AK5" s="855">
        <f t="shared" si="0"/>
        <v>0</v>
      </c>
      <c r="AL5" s="855"/>
      <c r="AM5" s="856">
        <f>INT(AH5/2-5)+IF(AE5="O",#REF!,0)+AP5</f>
        <v>0</v>
      </c>
      <c r="AN5" s="856"/>
      <c r="AO5" s="294" t="s">
        <v>40</v>
      </c>
      <c r="AP5" s="869"/>
      <c r="AQ5" s="869"/>
      <c r="AU5" s="845" t="s">
        <v>35</v>
      </c>
      <c r="AV5" s="862"/>
      <c r="AW5" s="846"/>
      <c r="AX5" s="863"/>
      <c r="AY5" s="864"/>
      <c r="AZ5" s="864"/>
      <c r="BA5" s="864"/>
      <c r="BB5" s="865"/>
      <c r="BD5" s="866" t="s">
        <v>5966</v>
      </c>
      <c r="BE5" s="866"/>
      <c r="BF5" s="866"/>
      <c r="BG5" s="867"/>
      <c r="BH5" s="867"/>
      <c r="BI5" s="867"/>
      <c r="BJ5" s="867"/>
      <c r="BK5" s="867"/>
      <c r="BM5" s="866" t="s">
        <v>5967</v>
      </c>
      <c r="BN5" s="866"/>
      <c r="BO5" s="866"/>
      <c r="BP5" s="866"/>
      <c r="BQ5" s="868"/>
      <c r="BR5" s="868"/>
      <c r="BS5" s="868"/>
      <c r="BT5" s="868"/>
      <c r="BU5" s="868"/>
      <c r="BY5" s="291"/>
      <c r="BZ5" s="291"/>
    </row>
    <row r="6" spans="1:88" ht="16.95" customHeight="1">
      <c r="U6" s="845" t="s">
        <v>59</v>
      </c>
      <c r="V6" s="862"/>
      <c r="W6" s="857"/>
      <c r="X6" s="858"/>
      <c r="Y6" s="858"/>
      <c r="Z6" s="295" t="s">
        <v>60</v>
      </c>
      <c r="AA6" s="858"/>
      <c r="AB6" s="858"/>
      <c r="AC6" s="859"/>
      <c r="AE6" s="292" t="s">
        <v>4020</v>
      </c>
      <c r="AF6" s="852" t="s">
        <v>52</v>
      </c>
      <c r="AG6" s="853"/>
      <c r="AH6" s="854">
        <v>10</v>
      </c>
      <c r="AI6" s="854"/>
      <c r="AJ6" s="293" t="s">
        <v>49</v>
      </c>
      <c r="AK6" s="855">
        <f t="shared" si="0"/>
        <v>0</v>
      </c>
      <c r="AL6" s="855"/>
      <c r="AM6" s="856">
        <f>INT(AH6/2-5)+IF(AE6="O",#REF!,0)+AP6</f>
        <v>0</v>
      </c>
      <c r="AN6" s="856"/>
      <c r="AO6" s="294" t="s">
        <v>40</v>
      </c>
      <c r="AP6" s="869"/>
      <c r="AQ6" s="869"/>
      <c r="AU6" s="287" t="s">
        <v>36</v>
      </c>
      <c r="AV6" s="288"/>
      <c r="AW6" s="288"/>
      <c r="AX6" s="888" t="s">
        <v>42</v>
      </c>
      <c r="AY6" s="888"/>
      <c r="AZ6" s="288"/>
      <c r="BA6" s="888" t="s">
        <v>46</v>
      </c>
      <c r="BB6" s="888"/>
      <c r="BC6" s="888" t="s">
        <v>47</v>
      </c>
      <c r="BD6" s="888"/>
      <c r="BE6" s="288"/>
      <c r="BY6" s="291"/>
      <c r="BZ6" s="291"/>
      <c r="CA6" s="870" t="s">
        <v>63</v>
      </c>
      <c r="CB6" s="870"/>
      <c r="CC6" s="870"/>
      <c r="CD6" s="870"/>
      <c r="CE6" s="870"/>
      <c r="CF6" s="870"/>
      <c r="CG6" s="870"/>
      <c r="CH6" s="870"/>
      <c r="CI6" s="870"/>
    </row>
    <row r="7" spans="1:88" ht="16.95" customHeight="1">
      <c r="B7" s="845" t="s">
        <v>5968</v>
      </c>
      <c r="C7" s="862"/>
      <c r="D7" s="846"/>
      <c r="E7" s="857"/>
      <c r="F7" s="858"/>
      <c r="G7" s="858"/>
      <c r="H7" s="858"/>
      <c r="I7" s="859"/>
      <c r="J7" s="291"/>
      <c r="K7" s="866" t="s">
        <v>23</v>
      </c>
      <c r="L7" s="866"/>
      <c r="M7" s="866"/>
      <c r="N7" s="854"/>
      <c r="O7" s="854"/>
      <c r="P7" s="854"/>
      <c r="Q7" s="854"/>
      <c r="R7" s="854"/>
      <c r="U7" s="845" t="s">
        <v>62</v>
      </c>
      <c r="V7" s="862"/>
      <c r="W7" s="871"/>
      <c r="X7" s="872"/>
      <c r="Y7" s="295" t="s">
        <v>60</v>
      </c>
      <c r="Z7" s="872"/>
      <c r="AA7" s="872"/>
      <c r="AB7" s="886"/>
      <c r="AC7" s="887"/>
      <c r="AE7" s="292" t="s">
        <v>4020</v>
      </c>
      <c r="AF7" s="852" t="s">
        <v>53</v>
      </c>
      <c r="AG7" s="853"/>
      <c r="AH7" s="854">
        <v>10</v>
      </c>
      <c r="AI7" s="854"/>
      <c r="AJ7" s="293" t="s">
        <v>49</v>
      </c>
      <c r="AK7" s="855">
        <f t="shared" si="0"/>
        <v>0</v>
      </c>
      <c r="AL7" s="855"/>
      <c r="AM7" s="856">
        <f>INT(AH7/2-5)+IF(AE7="O",#REF!,0)+AP7</f>
        <v>0</v>
      </c>
      <c r="AN7" s="856"/>
      <c r="AO7" s="294" t="s">
        <v>40</v>
      </c>
      <c r="AP7" s="869"/>
      <c r="AQ7" s="869"/>
      <c r="AU7" s="292" t="s">
        <v>4020</v>
      </c>
      <c r="AV7" s="852" t="s">
        <v>48</v>
      </c>
      <c r="AW7" s="853"/>
      <c r="AX7" s="854">
        <v>10</v>
      </c>
      <c r="AY7" s="854"/>
      <c r="AZ7" s="293" t="s">
        <v>49</v>
      </c>
      <c r="BA7" s="855">
        <f t="shared" ref="BA7:BA12" si="1">INT(AX7/2-5)</f>
        <v>0</v>
      </c>
      <c r="BB7" s="855"/>
      <c r="BC7" s="856">
        <f t="shared" ref="BC7:BC12" si="2">INT(AX7/2-5)+IF(AU7="O",$CH$3,0)</f>
        <v>0</v>
      </c>
      <c r="BD7" s="856"/>
      <c r="BE7" s="288"/>
      <c r="CA7" s="873"/>
      <c r="CB7" s="874"/>
      <c r="CC7" s="874"/>
      <c r="CD7" s="874"/>
      <c r="CE7" s="874"/>
      <c r="CF7" s="874"/>
      <c r="CG7" s="874"/>
      <c r="CH7" s="874"/>
      <c r="CI7" s="875"/>
    </row>
    <row r="8" spans="1:88" ht="16.95" customHeight="1">
      <c r="B8" s="845" t="s">
        <v>5964</v>
      </c>
      <c r="C8" s="862"/>
      <c r="D8" s="846"/>
      <c r="E8" s="882"/>
      <c r="F8" s="883"/>
      <c r="G8" s="883"/>
      <c r="H8" s="883"/>
      <c r="I8" s="884"/>
      <c r="K8" s="866" t="s">
        <v>67</v>
      </c>
      <c r="L8" s="866"/>
      <c r="M8" s="866"/>
      <c r="N8" s="885"/>
      <c r="O8" s="885"/>
      <c r="P8" s="885"/>
      <c r="Q8" s="885"/>
      <c r="R8" s="885"/>
      <c r="U8" s="866" t="s">
        <v>5967</v>
      </c>
      <c r="V8" s="866"/>
      <c r="W8" s="866"/>
      <c r="X8" s="866"/>
      <c r="Y8" s="868"/>
      <c r="Z8" s="868"/>
      <c r="AA8" s="868"/>
      <c r="AB8" s="868"/>
      <c r="AC8" s="868"/>
      <c r="AE8" s="292" t="s">
        <v>4020</v>
      </c>
      <c r="AF8" s="852" t="s">
        <v>54</v>
      </c>
      <c r="AG8" s="853"/>
      <c r="AH8" s="854">
        <v>10</v>
      </c>
      <c r="AI8" s="854"/>
      <c r="AJ8" s="293" t="s">
        <v>49</v>
      </c>
      <c r="AK8" s="855">
        <f t="shared" si="0"/>
        <v>0</v>
      </c>
      <c r="AL8" s="855"/>
      <c r="AM8" s="856">
        <f>INT(AH8/2-5)+IF(AE8="O",#REF!,0)+AP8</f>
        <v>0</v>
      </c>
      <c r="AN8" s="856"/>
      <c r="AO8" s="294" t="s">
        <v>40</v>
      </c>
      <c r="AP8" s="869"/>
      <c r="AQ8" s="869"/>
      <c r="AU8" s="292" t="s">
        <v>4020</v>
      </c>
      <c r="AV8" s="852" t="s">
        <v>50</v>
      </c>
      <c r="AW8" s="853"/>
      <c r="AX8" s="854">
        <v>10</v>
      </c>
      <c r="AY8" s="854"/>
      <c r="AZ8" s="293" t="s">
        <v>49</v>
      </c>
      <c r="BA8" s="855">
        <f t="shared" si="1"/>
        <v>0</v>
      </c>
      <c r="BB8" s="855"/>
      <c r="BC8" s="856">
        <f t="shared" si="2"/>
        <v>0</v>
      </c>
      <c r="BD8" s="856"/>
      <c r="BE8" s="288"/>
      <c r="BF8" s="845" t="s">
        <v>72</v>
      </c>
      <c r="BG8" s="846"/>
      <c r="BH8" s="857"/>
      <c r="BI8" s="858"/>
      <c r="BJ8" s="858"/>
      <c r="BK8" s="858"/>
      <c r="BL8" s="858"/>
      <c r="BM8" s="858"/>
      <c r="BN8" s="858"/>
      <c r="BO8" s="858"/>
      <c r="BP8" s="858"/>
      <c r="BQ8" s="858"/>
      <c r="BR8" s="858"/>
      <c r="BS8" s="858"/>
      <c r="BT8" s="858"/>
      <c r="BU8" s="858"/>
      <c r="BV8" s="858"/>
      <c r="BW8" s="858"/>
      <c r="BX8" s="858"/>
      <c r="BY8" s="859"/>
      <c r="CA8" s="876"/>
      <c r="CB8" s="877"/>
      <c r="CC8" s="877"/>
      <c r="CD8" s="877"/>
      <c r="CE8" s="877"/>
      <c r="CF8" s="877"/>
      <c r="CG8" s="877"/>
      <c r="CH8" s="877"/>
      <c r="CI8" s="878"/>
    </row>
    <row r="9" spans="1:88" ht="16.95" customHeight="1">
      <c r="B9" s="845" t="s">
        <v>35</v>
      </c>
      <c r="C9" s="862"/>
      <c r="D9" s="846"/>
      <c r="E9" s="863"/>
      <c r="F9" s="864"/>
      <c r="G9" s="864"/>
      <c r="H9" s="864"/>
      <c r="I9" s="865"/>
      <c r="K9" s="866" t="s">
        <v>5966</v>
      </c>
      <c r="L9" s="866"/>
      <c r="M9" s="866"/>
      <c r="N9" s="867"/>
      <c r="O9" s="867"/>
      <c r="P9" s="867"/>
      <c r="Q9" s="867"/>
      <c r="R9" s="867"/>
      <c r="AU9" s="292" t="s">
        <v>4020</v>
      </c>
      <c r="AV9" s="852" t="s">
        <v>51</v>
      </c>
      <c r="AW9" s="853"/>
      <c r="AX9" s="854">
        <v>10</v>
      </c>
      <c r="AY9" s="854"/>
      <c r="AZ9" s="293" t="s">
        <v>49</v>
      </c>
      <c r="BA9" s="855">
        <f t="shared" si="1"/>
        <v>0</v>
      </c>
      <c r="BB9" s="855"/>
      <c r="BC9" s="856">
        <f t="shared" si="2"/>
        <v>0</v>
      </c>
      <c r="BD9" s="856"/>
      <c r="BE9" s="288"/>
      <c r="BF9" s="845" t="s">
        <v>65</v>
      </c>
      <c r="BG9" s="846"/>
      <c r="BH9" s="857"/>
      <c r="BI9" s="858"/>
      <c r="BJ9" s="858"/>
      <c r="BK9" s="858"/>
      <c r="BL9" s="858"/>
      <c r="BM9" s="858"/>
      <c r="BN9" s="858"/>
      <c r="BO9" s="858"/>
      <c r="BP9" s="858"/>
      <c r="BQ9" s="858"/>
      <c r="BR9" s="858"/>
      <c r="BS9" s="858"/>
      <c r="BT9" s="858"/>
      <c r="BU9" s="858"/>
      <c r="BV9" s="858"/>
      <c r="BW9" s="858"/>
      <c r="BX9" s="858"/>
      <c r="BY9" s="859"/>
      <c r="CA9" s="876"/>
      <c r="CB9" s="877"/>
      <c r="CC9" s="877"/>
      <c r="CD9" s="877"/>
      <c r="CE9" s="877"/>
      <c r="CF9" s="877"/>
      <c r="CG9" s="877"/>
      <c r="CH9" s="877"/>
      <c r="CI9" s="878"/>
    </row>
    <row r="10" spans="1:88" ht="16.95" customHeight="1">
      <c r="U10" s="845" t="s">
        <v>72</v>
      </c>
      <c r="V10" s="846"/>
      <c r="W10" s="847"/>
      <c r="X10" s="847"/>
      <c r="Y10" s="847"/>
      <c r="Z10" s="847"/>
      <c r="AA10" s="847"/>
      <c r="AB10" s="847"/>
      <c r="AC10" s="847"/>
      <c r="AD10" s="847"/>
      <c r="AE10" s="847"/>
      <c r="AF10" s="847"/>
      <c r="AG10" s="847"/>
      <c r="AH10" s="847"/>
      <c r="AI10" s="847"/>
      <c r="AJ10" s="847"/>
      <c r="AK10" s="847"/>
      <c r="AL10" s="847"/>
      <c r="AM10" s="847"/>
      <c r="AN10" s="847"/>
      <c r="AO10" s="847"/>
      <c r="AP10" s="847"/>
      <c r="AQ10" s="847"/>
      <c r="AU10" s="292" t="s">
        <v>4020</v>
      </c>
      <c r="AV10" s="852" t="s">
        <v>52</v>
      </c>
      <c r="AW10" s="853"/>
      <c r="AX10" s="854">
        <v>10</v>
      </c>
      <c r="AY10" s="854"/>
      <c r="AZ10" s="293" t="s">
        <v>49</v>
      </c>
      <c r="BA10" s="855">
        <f t="shared" si="1"/>
        <v>0</v>
      </c>
      <c r="BB10" s="855"/>
      <c r="BC10" s="856">
        <f t="shared" si="2"/>
        <v>0</v>
      </c>
      <c r="BD10" s="856"/>
      <c r="BE10" s="288"/>
      <c r="BF10" s="845" t="s">
        <v>66</v>
      </c>
      <c r="BG10" s="846"/>
      <c r="BH10" s="857"/>
      <c r="BI10" s="858"/>
      <c r="BJ10" s="858"/>
      <c r="BK10" s="858"/>
      <c r="BL10" s="858"/>
      <c r="BM10" s="858"/>
      <c r="BN10" s="858"/>
      <c r="BO10" s="858"/>
      <c r="BP10" s="858"/>
      <c r="BQ10" s="858"/>
      <c r="BR10" s="858"/>
      <c r="BS10" s="858"/>
      <c r="BT10" s="858"/>
      <c r="BU10" s="858"/>
      <c r="BV10" s="858"/>
      <c r="BW10" s="858"/>
      <c r="BX10" s="858"/>
      <c r="BY10" s="859"/>
      <c r="CA10" s="876"/>
      <c r="CB10" s="877"/>
      <c r="CC10" s="877"/>
      <c r="CD10" s="877"/>
      <c r="CE10" s="877"/>
      <c r="CF10" s="877"/>
      <c r="CG10" s="877"/>
      <c r="CH10" s="877"/>
      <c r="CI10" s="878"/>
    </row>
    <row r="11" spans="1:88" ht="16.95" customHeight="1">
      <c r="B11" s="841" t="s">
        <v>5972</v>
      </c>
      <c r="C11" s="841"/>
      <c r="D11" s="841"/>
      <c r="E11" s="841"/>
      <c r="F11" s="841"/>
      <c r="G11" s="841"/>
      <c r="H11" s="841"/>
      <c r="I11" s="841"/>
      <c r="J11" s="841"/>
      <c r="K11" s="841"/>
      <c r="L11" s="841"/>
      <c r="M11" s="841"/>
      <c r="N11" s="841"/>
      <c r="O11" s="841"/>
      <c r="P11" s="841"/>
      <c r="Q11" s="841"/>
      <c r="R11" s="841"/>
      <c r="U11" s="845" t="s">
        <v>65</v>
      </c>
      <c r="V11" s="846"/>
      <c r="W11" s="847"/>
      <c r="X11" s="847"/>
      <c r="Y11" s="847"/>
      <c r="Z11" s="847"/>
      <c r="AA11" s="847"/>
      <c r="AB11" s="847"/>
      <c r="AC11" s="847"/>
      <c r="AD11" s="847"/>
      <c r="AE11" s="847"/>
      <c r="AF11" s="847"/>
      <c r="AG11" s="847"/>
      <c r="AH11" s="847"/>
      <c r="AI11" s="847"/>
      <c r="AJ11" s="847"/>
      <c r="AK11" s="847"/>
      <c r="AL11" s="847"/>
      <c r="AM11" s="847"/>
      <c r="AN11" s="847"/>
      <c r="AO11" s="847"/>
      <c r="AP11" s="847"/>
      <c r="AQ11" s="847"/>
      <c r="AU11" s="292" t="s">
        <v>4020</v>
      </c>
      <c r="AV11" s="852" t="s">
        <v>53</v>
      </c>
      <c r="AW11" s="853"/>
      <c r="AX11" s="854">
        <v>10</v>
      </c>
      <c r="AY11" s="854"/>
      <c r="AZ11" s="293" t="s">
        <v>49</v>
      </c>
      <c r="BA11" s="855">
        <f t="shared" si="1"/>
        <v>0</v>
      </c>
      <c r="BB11" s="855"/>
      <c r="BC11" s="856">
        <f t="shared" si="2"/>
        <v>0</v>
      </c>
      <c r="BD11" s="856"/>
      <c r="BE11" s="288"/>
      <c r="BF11" s="845" t="s">
        <v>5970</v>
      </c>
      <c r="BG11" s="846"/>
      <c r="BH11" s="857"/>
      <c r="BI11" s="858"/>
      <c r="BJ11" s="858"/>
      <c r="BK11" s="858"/>
      <c r="BL11" s="858"/>
      <c r="BM11" s="858"/>
      <c r="BN11" s="858"/>
      <c r="BO11" s="858"/>
      <c r="BP11" s="858"/>
      <c r="BQ11" s="858"/>
      <c r="BR11" s="858"/>
      <c r="BS11" s="858"/>
      <c r="BT11" s="858"/>
      <c r="BU11" s="858"/>
      <c r="BV11" s="858"/>
      <c r="BW11" s="858"/>
      <c r="BX11" s="858"/>
      <c r="BY11" s="859"/>
      <c r="CA11" s="876"/>
      <c r="CB11" s="877"/>
      <c r="CC11" s="877"/>
      <c r="CD11" s="877"/>
      <c r="CE11" s="877"/>
      <c r="CF11" s="877"/>
      <c r="CG11" s="877"/>
      <c r="CH11" s="877"/>
      <c r="CI11" s="878"/>
    </row>
    <row r="12" spans="1:88" ht="16.95" customHeight="1">
      <c r="B12" s="860"/>
      <c r="C12" s="860"/>
      <c r="D12" s="860"/>
      <c r="E12" s="860"/>
      <c r="F12" s="860"/>
      <c r="G12" s="860"/>
      <c r="H12" s="860"/>
      <c r="I12" s="860"/>
      <c r="J12" s="860"/>
      <c r="K12" s="860"/>
      <c r="L12" s="860"/>
      <c r="M12" s="860"/>
      <c r="N12" s="860"/>
      <c r="O12" s="860"/>
      <c r="P12" s="860"/>
      <c r="Q12" s="860"/>
      <c r="R12" s="860"/>
      <c r="U12" s="845" t="s">
        <v>66</v>
      </c>
      <c r="V12" s="846"/>
      <c r="W12" s="847"/>
      <c r="X12" s="847"/>
      <c r="Y12" s="847"/>
      <c r="Z12" s="847"/>
      <c r="AA12" s="847"/>
      <c r="AB12" s="847"/>
      <c r="AC12" s="847"/>
      <c r="AD12" s="847"/>
      <c r="AE12" s="847"/>
      <c r="AF12" s="847"/>
      <c r="AG12" s="847"/>
      <c r="AH12" s="847"/>
      <c r="AI12" s="847"/>
      <c r="AJ12" s="847"/>
      <c r="AK12" s="847"/>
      <c r="AL12" s="847"/>
      <c r="AM12" s="847"/>
      <c r="AN12" s="847"/>
      <c r="AO12" s="847"/>
      <c r="AP12" s="847"/>
      <c r="AQ12" s="847"/>
      <c r="AU12" s="292" t="s">
        <v>4020</v>
      </c>
      <c r="AV12" s="852" t="s">
        <v>54</v>
      </c>
      <c r="AW12" s="853"/>
      <c r="AX12" s="854">
        <v>10</v>
      </c>
      <c r="AY12" s="854"/>
      <c r="AZ12" s="293" t="s">
        <v>49</v>
      </c>
      <c r="BA12" s="855">
        <f t="shared" si="1"/>
        <v>0</v>
      </c>
      <c r="BB12" s="855"/>
      <c r="BC12" s="856">
        <f t="shared" si="2"/>
        <v>0</v>
      </c>
      <c r="BD12" s="856"/>
      <c r="BE12" s="288"/>
      <c r="BF12" s="849" t="s">
        <v>129</v>
      </c>
      <c r="BG12" s="850"/>
      <c r="BH12" s="857"/>
      <c r="BI12" s="858"/>
      <c r="BJ12" s="858"/>
      <c r="BK12" s="858"/>
      <c r="BL12" s="858"/>
      <c r="BM12" s="858"/>
      <c r="BN12" s="858"/>
      <c r="BO12" s="858"/>
      <c r="BP12" s="858"/>
      <c r="BQ12" s="858"/>
      <c r="BR12" s="858"/>
      <c r="BS12" s="858"/>
      <c r="BT12" s="858"/>
      <c r="BU12" s="858"/>
      <c r="BV12" s="858"/>
      <c r="BW12" s="858"/>
      <c r="BX12" s="858"/>
      <c r="BY12" s="859"/>
      <c r="CA12" s="879"/>
      <c r="CB12" s="880"/>
      <c r="CC12" s="880"/>
      <c r="CD12" s="880"/>
      <c r="CE12" s="880"/>
      <c r="CF12" s="880"/>
      <c r="CG12" s="880"/>
      <c r="CH12" s="880"/>
      <c r="CI12" s="881"/>
    </row>
    <row r="13" spans="1:88" ht="16.95" customHeight="1">
      <c r="B13" s="860"/>
      <c r="C13" s="860"/>
      <c r="D13" s="860"/>
      <c r="E13" s="860"/>
      <c r="F13" s="860"/>
      <c r="G13" s="860"/>
      <c r="H13" s="860"/>
      <c r="I13" s="860"/>
      <c r="J13" s="860"/>
      <c r="K13" s="860"/>
      <c r="L13" s="860"/>
      <c r="M13" s="860"/>
      <c r="N13" s="860"/>
      <c r="O13" s="860"/>
      <c r="P13" s="860"/>
      <c r="Q13" s="860"/>
      <c r="R13" s="860"/>
      <c r="U13" s="845" t="s">
        <v>5970</v>
      </c>
      <c r="V13" s="846"/>
      <c r="W13" s="847"/>
      <c r="X13" s="847"/>
      <c r="Y13" s="847"/>
      <c r="Z13" s="847"/>
      <c r="AA13" s="847"/>
      <c r="AB13" s="847"/>
      <c r="AC13" s="847"/>
      <c r="AD13" s="847"/>
      <c r="AE13" s="847"/>
      <c r="AF13" s="847"/>
      <c r="AG13" s="847"/>
      <c r="AH13" s="847"/>
      <c r="AI13" s="847"/>
      <c r="AJ13" s="847"/>
      <c r="AK13" s="847"/>
      <c r="AL13" s="847"/>
      <c r="AM13" s="847"/>
      <c r="AN13" s="847"/>
      <c r="AO13" s="847"/>
      <c r="AP13" s="847"/>
      <c r="AQ13" s="847"/>
      <c r="AU13" s="848" t="s">
        <v>77</v>
      </c>
      <c r="AV13" s="848"/>
      <c r="AW13" s="848"/>
      <c r="AX13" s="848"/>
      <c r="AY13" s="848"/>
      <c r="AZ13" s="848"/>
      <c r="BA13" s="848"/>
      <c r="BB13" s="848"/>
      <c r="BC13" s="848"/>
      <c r="BD13" s="848"/>
      <c r="BE13" s="848"/>
      <c r="BF13" s="848"/>
      <c r="BG13" s="848"/>
      <c r="BH13" s="848"/>
      <c r="BI13" s="848"/>
      <c r="BJ13" s="848"/>
      <c r="BK13" s="848"/>
      <c r="BL13" s="848"/>
      <c r="BM13" s="848"/>
      <c r="BN13" s="848"/>
      <c r="BP13" s="848" t="s">
        <v>5971</v>
      </c>
      <c r="BQ13" s="848"/>
      <c r="BR13" s="848"/>
      <c r="BS13" s="848"/>
      <c r="BT13" s="848"/>
      <c r="BU13" s="848"/>
      <c r="BV13" s="848"/>
      <c r="BW13" s="848"/>
      <c r="BX13" s="848"/>
      <c r="BY13" s="848"/>
      <c r="BZ13" s="848"/>
      <c r="CA13" s="848"/>
      <c r="CB13" s="848"/>
      <c r="CC13" s="848"/>
      <c r="CD13" s="848"/>
      <c r="CE13" s="848"/>
      <c r="CF13" s="848"/>
      <c r="CG13" s="848"/>
      <c r="CH13" s="848"/>
      <c r="CI13" s="848"/>
    </row>
    <row r="14" spans="1:88" ht="16.95" customHeight="1">
      <c r="B14" s="860"/>
      <c r="C14" s="860"/>
      <c r="D14" s="860"/>
      <c r="E14" s="860"/>
      <c r="F14" s="860"/>
      <c r="G14" s="860"/>
      <c r="H14" s="860"/>
      <c r="I14" s="860"/>
      <c r="J14" s="860"/>
      <c r="K14" s="860"/>
      <c r="L14" s="860"/>
      <c r="M14" s="860"/>
      <c r="N14" s="860"/>
      <c r="O14" s="860"/>
      <c r="P14" s="860"/>
      <c r="Q14" s="860"/>
      <c r="R14" s="860"/>
      <c r="U14" s="849" t="s">
        <v>129</v>
      </c>
      <c r="V14" s="850"/>
      <c r="W14" s="847"/>
      <c r="X14" s="847"/>
      <c r="Y14" s="847"/>
      <c r="Z14" s="847"/>
      <c r="AA14" s="847"/>
      <c r="AB14" s="847"/>
      <c r="AC14" s="847"/>
      <c r="AD14" s="847"/>
      <c r="AE14" s="847"/>
      <c r="AF14" s="847"/>
      <c r="AG14" s="847"/>
      <c r="AH14" s="847"/>
      <c r="AI14" s="847"/>
      <c r="AJ14" s="847"/>
      <c r="AK14" s="847"/>
      <c r="AL14" s="847"/>
      <c r="AM14" s="847"/>
      <c r="AN14" s="847"/>
      <c r="AO14" s="847"/>
      <c r="AP14" s="847"/>
      <c r="AQ14" s="847"/>
      <c r="AU14" s="851"/>
      <c r="AV14" s="851"/>
      <c r="AW14" s="851"/>
      <c r="AX14" s="851"/>
      <c r="AY14" s="851"/>
      <c r="AZ14" s="851"/>
      <c r="BA14" s="851"/>
      <c r="BB14" s="851"/>
      <c r="BC14" s="851"/>
      <c r="BD14" s="851"/>
      <c r="BE14" s="851"/>
      <c r="BF14" s="851"/>
      <c r="BG14" s="851"/>
      <c r="BH14" s="851"/>
      <c r="BI14" s="851"/>
      <c r="BJ14" s="851"/>
      <c r="BK14" s="851"/>
      <c r="BL14" s="851"/>
      <c r="BM14" s="851"/>
      <c r="BN14" s="851"/>
      <c r="BP14" s="851"/>
      <c r="BQ14" s="851"/>
      <c r="BR14" s="851"/>
      <c r="BS14" s="851"/>
      <c r="BT14" s="851"/>
      <c r="BU14" s="851"/>
      <c r="BV14" s="851"/>
      <c r="BW14" s="851"/>
      <c r="BX14" s="851"/>
      <c r="BY14" s="851"/>
      <c r="BZ14" s="851"/>
      <c r="CA14" s="851"/>
      <c r="CB14" s="851"/>
      <c r="CC14" s="851"/>
      <c r="CD14" s="851"/>
      <c r="CE14" s="851"/>
      <c r="CF14" s="851"/>
      <c r="CG14" s="851"/>
      <c r="CH14" s="851"/>
      <c r="CI14" s="851"/>
    </row>
    <row r="15" spans="1:88" ht="16.95" customHeight="1">
      <c r="B15" s="860"/>
      <c r="C15" s="860"/>
      <c r="D15" s="860"/>
      <c r="E15" s="860"/>
      <c r="F15" s="860"/>
      <c r="G15" s="860"/>
      <c r="H15" s="860"/>
      <c r="I15" s="860"/>
      <c r="J15" s="860"/>
      <c r="K15" s="860"/>
      <c r="L15" s="860"/>
      <c r="M15" s="860"/>
      <c r="N15" s="860"/>
      <c r="O15" s="860"/>
      <c r="P15" s="860"/>
      <c r="Q15" s="860"/>
      <c r="R15" s="860"/>
      <c r="U15" s="843" t="s">
        <v>5971</v>
      </c>
      <c r="V15" s="843"/>
      <c r="W15" s="843"/>
      <c r="X15" s="843"/>
      <c r="Y15" s="843"/>
      <c r="Z15" s="843"/>
      <c r="AA15" s="843"/>
      <c r="AB15" s="843"/>
      <c r="AC15" s="843"/>
      <c r="AD15" s="843"/>
      <c r="AE15" s="843"/>
      <c r="AF15" s="843"/>
      <c r="AG15" s="843"/>
      <c r="AH15" s="843"/>
      <c r="AI15" s="843"/>
      <c r="AJ15" s="843"/>
      <c r="AK15" s="843"/>
      <c r="AL15" s="843"/>
      <c r="AM15" s="843"/>
      <c r="AN15" s="843"/>
      <c r="AO15" s="843"/>
      <c r="AP15" s="843"/>
      <c r="AQ15" s="843"/>
      <c r="AU15" s="851"/>
      <c r="AV15" s="851"/>
      <c r="AW15" s="851"/>
      <c r="AX15" s="851"/>
      <c r="AY15" s="851"/>
      <c r="AZ15" s="851"/>
      <c r="BA15" s="851"/>
      <c r="BB15" s="851"/>
      <c r="BC15" s="851"/>
      <c r="BD15" s="851"/>
      <c r="BE15" s="851"/>
      <c r="BF15" s="851"/>
      <c r="BG15" s="851"/>
      <c r="BH15" s="851"/>
      <c r="BI15" s="851"/>
      <c r="BJ15" s="851"/>
      <c r="BK15" s="851"/>
      <c r="BL15" s="851"/>
      <c r="BM15" s="851"/>
      <c r="BN15" s="851"/>
      <c r="BP15" s="851"/>
      <c r="BQ15" s="851"/>
      <c r="BR15" s="851"/>
      <c r="BS15" s="851"/>
      <c r="BT15" s="851"/>
      <c r="BU15" s="851"/>
      <c r="BV15" s="851"/>
      <c r="BW15" s="851"/>
      <c r="BX15" s="851"/>
      <c r="BY15" s="851"/>
      <c r="BZ15" s="851"/>
      <c r="CA15" s="851"/>
      <c r="CB15" s="851"/>
      <c r="CC15" s="851"/>
      <c r="CD15" s="851"/>
      <c r="CE15" s="851"/>
      <c r="CF15" s="851"/>
      <c r="CG15" s="851"/>
      <c r="CH15" s="851"/>
      <c r="CI15" s="851"/>
    </row>
    <row r="16" spans="1:88" ht="16.95" customHeight="1">
      <c r="B16" s="860"/>
      <c r="C16" s="860"/>
      <c r="D16" s="860"/>
      <c r="E16" s="860"/>
      <c r="F16" s="860"/>
      <c r="G16" s="860"/>
      <c r="H16" s="860"/>
      <c r="I16" s="860"/>
      <c r="J16" s="860"/>
      <c r="K16" s="860"/>
      <c r="L16" s="860"/>
      <c r="M16" s="860"/>
      <c r="N16" s="860"/>
      <c r="O16" s="860"/>
      <c r="P16" s="860"/>
      <c r="Q16" s="860"/>
      <c r="R16" s="860"/>
      <c r="U16" s="851"/>
      <c r="V16" s="851"/>
      <c r="W16" s="851"/>
      <c r="X16" s="851"/>
      <c r="Y16" s="851"/>
      <c r="Z16" s="851"/>
      <c r="AA16" s="851"/>
      <c r="AB16" s="851"/>
      <c r="AC16" s="851"/>
      <c r="AD16" s="851"/>
      <c r="AE16" s="851"/>
      <c r="AF16" s="851"/>
      <c r="AG16" s="851"/>
      <c r="AH16" s="851"/>
      <c r="AI16" s="851"/>
      <c r="AJ16" s="851"/>
      <c r="AK16" s="851"/>
      <c r="AL16" s="851"/>
      <c r="AM16" s="851"/>
      <c r="AN16" s="851"/>
      <c r="AO16" s="851"/>
      <c r="AP16" s="851"/>
      <c r="AQ16" s="851"/>
      <c r="AU16" s="851"/>
      <c r="AV16" s="851"/>
      <c r="AW16" s="851"/>
      <c r="AX16" s="851"/>
      <c r="AY16" s="851"/>
      <c r="AZ16" s="851"/>
      <c r="BA16" s="851"/>
      <c r="BB16" s="851"/>
      <c r="BC16" s="851"/>
      <c r="BD16" s="851"/>
      <c r="BE16" s="851"/>
      <c r="BF16" s="851"/>
      <c r="BG16" s="851"/>
      <c r="BH16" s="851"/>
      <c r="BI16" s="851"/>
      <c r="BJ16" s="851"/>
      <c r="BK16" s="851"/>
      <c r="BL16" s="851"/>
      <c r="BM16" s="851"/>
      <c r="BN16" s="851"/>
      <c r="BP16" s="851"/>
      <c r="BQ16" s="851"/>
      <c r="BR16" s="851"/>
      <c r="BS16" s="851"/>
      <c r="BT16" s="851"/>
      <c r="BU16" s="851"/>
      <c r="BV16" s="851"/>
      <c r="BW16" s="851"/>
      <c r="BX16" s="851"/>
      <c r="BY16" s="851"/>
      <c r="BZ16" s="851"/>
      <c r="CA16" s="851"/>
      <c r="CB16" s="851"/>
      <c r="CC16" s="851"/>
      <c r="CD16" s="851"/>
      <c r="CE16" s="851"/>
      <c r="CF16" s="851"/>
      <c r="CG16" s="851"/>
      <c r="CH16" s="851"/>
      <c r="CI16" s="851"/>
    </row>
    <row r="17" spans="2:87" ht="16.95" customHeight="1">
      <c r="B17" s="860"/>
      <c r="C17" s="860"/>
      <c r="D17" s="860"/>
      <c r="E17" s="860"/>
      <c r="F17" s="860"/>
      <c r="G17" s="860"/>
      <c r="H17" s="860"/>
      <c r="I17" s="860"/>
      <c r="J17" s="860"/>
      <c r="K17" s="860"/>
      <c r="L17" s="860"/>
      <c r="M17" s="860"/>
      <c r="N17" s="860"/>
      <c r="O17" s="860"/>
      <c r="P17" s="860"/>
      <c r="Q17" s="860"/>
      <c r="R17" s="860"/>
      <c r="U17" s="851"/>
      <c r="V17" s="851"/>
      <c r="W17" s="851"/>
      <c r="X17" s="851"/>
      <c r="Y17" s="851"/>
      <c r="Z17" s="851"/>
      <c r="AA17" s="851"/>
      <c r="AB17" s="851"/>
      <c r="AC17" s="851"/>
      <c r="AD17" s="851"/>
      <c r="AE17" s="851"/>
      <c r="AF17" s="851"/>
      <c r="AG17" s="851"/>
      <c r="AH17" s="851"/>
      <c r="AI17" s="851"/>
      <c r="AJ17" s="851"/>
      <c r="AK17" s="851"/>
      <c r="AL17" s="851"/>
      <c r="AM17" s="851"/>
      <c r="AN17" s="851"/>
      <c r="AO17" s="851"/>
      <c r="AP17" s="851"/>
      <c r="AQ17" s="851"/>
      <c r="AU17" s="851"/>
      <c r="AV17" s="851"/>
      <c r="AW17" s="851"/>
      <c r="AX17" s="851"/>
      <c r="AY17" s="851"/>
      <c r="AZ17" s="851"/>
      <c r="BA17" s="851"/>
      <c r="BB17" s="851"/>
      <c r="BC17" s="851"/>
      <c r="BD17" s="851"/>
      <c r="BE17" s="851"/>
      <c r="BF17" s="851"/>
      <c r="BG17" s="851"/>
      <c r="BH17" s="851"/>
      <c r="BI17" s="851"/>
      <c r="BJ17" s="851"/>
      <c r="BK17" s="851"/>
      <c r="BL17" s="851"/>
      <c r="BM17" s="851"/>
      <c r="BN17" s="851"/>
      <c r="BP17" s="851"/>
      <c r="BQ17" s="851"/>
      <c r="BR17" s="851"/>
      <c r="BS17" s="851"/>
      <c r="BT17" s="851"/>
      <c r="BU17" s="851"/>
      <c r="BV17" s="851"/>
      <c r="BW17" s="851"/>
      <c r="BX17" s="851"/>
      <c r="BY17" s="851"/>
      <c r="BZ17" s="851"/>
      <c r="CA17" s="851"/>
      <c r="CB17" s="851"/>
      <c r="CC17" s="851"/>
      <c r="CD17" s="851"/>
      <c r="CE17" s="851"/>
      <c r="CF17" s="851"/>
      <c r="CG17" s="851"/>
      <c r="CH17" s="851"/>
      <c r="CI17" s="851"/>
    </row>
    <row r="18" spans="2:87" ht="16.95" customHeight="1">
      <c r="B18" s="860"/>
      <c r="C18" s="860"/>
      <c r="D18" s="860"/>
      <c r="E18" s="860"/>
      <c r="F18" s="860"/>
      <c r="G18" s="860"/>
      <c r="H18" s="860"/>
      <c r="I18" s="860"/>
      <c r="J18" s="860"/>
      <c r="K18" s="860"/>
      <c r="L18" s="860"/>
      <c r="M18" s="860"/>
      <c r="N18" s="860"/>
      <c r="O18" s="860"/>
      <c r="P18" s="860"/>
      <c r="Q18" s="860"/>
      <c r="R18" s="860"/>
      <c r="U18" s="851"/>
      <c r="V18" s="851"/>
      <c r="W18" s="851"/>
      <c r="X18" s="851"/>
      <c r="Y18" s="851"/>
      <c r="Z18" s="851"/>
      <c r="AA18" s="851"/>
      <c r="AB18" s="851"/>
      <c r="AC18" s="851"/>
      <c r="AD18" s="851"/>
      <c r="AE18" s="851"/>
      <c r="AF18" s="851"/>
      <c r="AG18" s="851"/>
      <c r="AH18" s="851"/>
      <c r="AI18" s="851"/>
      <c r="AJ18" s="851"/>
      <c r="AK18" s="851"/>
      <c r="AL18" s="851"/>
      <c r="AM18" s="851"/>
      <c r="AN18" s="851"/>
      <c r="AO18" s="851"/>
      <c r="AP18" s="851"/>
      <c r="AQ18" s="851"/>
      <c r="AU18" s="851"/>
      <c r="AV18" s="851"/>
      <c r="AW18" s="851"/>
      <c r="AX18" s="851"/>
      <c r="AY18" s="851"/>
      <c r="AZ18" s="851"/>
      <c r="BA18" s="851"/>
      <c r="BB18" s="851"/>
      <c r="BC18" s="851"/>
      <c r="BD18" s="851"/>
      <c r="BE18" s="851"/>
      <c r="BF18" s="851"/>
      <c r="BG18" s="851"/>
      <c r="BH18" s="851"/>
      <c r="BI18" s="851"/>
      <c r="BJ18" s="851"/>
      <c r="BK18" s="851"/>
      <c r="BL18" s="851"/>
      <c r="BM18" s="851"/>
      <c r="BN18" s="851"/>
      <c r="BP18" s="851"/>
      <c r="BQ18" s="851"/>
      <c r="BR18" s="851"/>
      <c r="BS18" s="851"/>
      <c r="BT18" s="851"/>
      <c r="BU18" s="851"/>
      <c r="BV18" s="851"/>
      <c r="BW18" s="851"/>
      <c r="BX18" s="851"/>
      <c r="BY18" s="851"/>
      <c r="BZ18" s="851"/>
      <c r="CA18" s="851"/>
      <c r="CB18" s="851"/>
      <c r="CC18" s="851"/>
      <c r="CD18" s="851"/>
      <c r="CE18" s="851"/>
      <c r="CF18" s="851"/>
      <c r="CG18" s="851"/>
      <c r="CH18" s="851"/>
      <c r="CI18" s="851"/>
    </row>
    <row r="19" spans="2:87" ht="16.95" customHeight="1">
      <c r="B19" s="860"/>
      <c r="C19" s="860"/>
      <c r="D19" s="860"/>
      <c r="E19" s="860"/>
      <c r="F19" s="860"/>
      <c r="G19" s="860"/>
      <c r="H19" s="860"/>
      <c r="I19" s="860"/>
      <c r="J19" s="860"/>
      <c r="K19" s="860"/>
      <c r="L19" s="860"/>
      <c r="M19" s="860"/>
      <c r="N19" s="860"/>
      <c r="O19" s="860"/>
      <c r="P19" s="860"/>
      <c r="Q19" s="860"/>
      <c r="R19" s="860"/>
      <c r="U19" s="851"/>
      <c r="V19" s="851"/>
      <c r="W19" s="851"/>
      <c r="X19" s="851"/>
      <c r="Y19" s="851"/>
      <c r="Z19" s="851"/>
      <c r="AA19" s="851"/>
      <c r="AB19" s="851"/>
      <c r="AC19" s="851"/>
      <c r="AD19" s="851"/>
      <c r="AE19" s="851"/>
      <c r="AF19" s="851"/>
      <c r="AG19" s="851"/>
      <c r="AH19" s="851"/>
      <c r="AI19" s="851"/>
      <c r="AJ19" s="851"/>
      <c r="AK19" s="851"/>
      <c r="AL19" s="851"/>
      <c r="AM19" s="851"/>
      <c r="AN19" s="851"/>
      <c r="AO19" s="851"/>
      <c r="AP19" s="851"/>
      <c r="AQ19" s="851"/>
      <c r="AU19" s="851"/>
      <c r="AV19" s="851"/>
      <c r="AW19" s="851"/>
      <c r="AX19" s="851"/>
      <c r="AY19" s="851"/>
      <c r="AZ19" s="851"/>
      <c r="BA19" s="851"/>
      <c r="BB19" s="851"/>
      <c r="BC19" s="851"/>
      <c r="BD19" s="851"/>
      <c r="BE19" s="851"/>
      <c r="BF19" s="851"/>
      <c r="BG19" s="851"/>
      <c r="BH19" s="851"/>
      <c r="BI19" s="851"/>
      <c r="BJ19" s="851"/>
      <c r="BK19" s="851"/>
      <c r="BL19" s="851"/>
      <c r="BM19" s="851"/>
      <c r="BN19" s="851"/>
      <c r="BP19" s="851"/>
      <c r="BQ19" s="851"/>
      <c r="BR19" s="851"/>
      <c r="BS19" s="851"/>
      <c r="BT19" s="851"/>
      <c r="BU19" s="851"/>
      <c r="BV19" s="851"/>
      <c r="BW19" s="851"/>
      <c r="BX19" s="851"/>
      <c r="BY19" s="851"/>
      <c r="BZ19" s="851"/>
      <c r="CA19" s="851"/>
      <c r="CB19" s="851"/>
      <c r="CC19" s="851"/>
      <c r="CD19" s="851"/>
      <c r="CE19" s="851"/>
      <c r="CF19" s="851"/>
      <c r="CG19" s="851"/>
      <c r="CH19" s="851"/>
      <c r="CI19" s="851"/>
    </row>
    <row r="20" spans="2:87" ht="16.95" customHeight="1">
      <c r="B20" s="860"/>
      <c r="C20" s="860"/>
      <c r="D20" s="860"/>
      <c r="E20" s="860"/>
      <c r="F20" s="860"/>
      <c r="G20" s="860"/>
      <c r="H20" s="860"/>
      <c r="I20" s="860"/>
      <c r="J20" s="860"/>
      <c r="K20" s="860"/>
      <c r="L20" s="860"/>
      <c r="M20" s="860"/>
      <c r="N20" s="860"/>
      <c r="O20" s="860"/>
      <c r="P20" s="860"/>
      <c r="Q20" s="860"/>
      <c r="R20" s="860"/>
      <c r="U20" s="851"/>
      <c r="V20" s="851"/>
      <c r="W20" s="851"/>
      <c r="X20" s="851"/>
      <c r="Y20" s="851"/>
      <c r="Z20" s="851"/>
      <c r="AA20" s="851"/>
      <c r="AB20" s="851"/>
      <c r="AC20" s="851"/>
      <c r="AD20" s="851"/>
      <c r="AE20" s="851"/>
      <c r="AF20" s="851"/>
      <c r="AG20" s="851"/>
      <c r="AH20" s="851"/>
      <c r="AI20" s="851"/>
      <c r="AJ20" s="851"/>
      <c r="AK20" s="851"/>
      <c r="AL20" s="851"/>
      <c r="AM20" s="851"/>
      <c r="AN20" s="851"/>
      <c r="AO20" s="851"/>
      <c r="AP20" s="851"/>
      <c r="AQ20" s="851"/>
      <c r="AU20" s="851"/>
      <c r="AV20" s="851"/>
      <c r="AW20" s="851"/>
      <c r="AX20" s="851"/>
      <c r="AY20" s="851"/>
      <c r="AZ20" s="851"/>
      <c r="BA20" s="851"/>
      <c r="BB20" s="851"/>
      <c r="BC20" s="851"/>
      <c r="BD20" s="851"/>
      <c r="BE20" s="851"/>
      <c r="BF20" s="851"/>
      <c r="BG20" s="851"/>
      <c r="BH20" s="851"/>
      <c r="BI20" s="851"/>
      <c r="BJ20" s="851"/>
      <c r="BK20" s="851"/>
      <c r="BL20" s="851"/>
      <c r="BM20" s="851"/>
      <c r="BN20" s="851"/>
      <c r="BP20" s="851"/>
      <c r="BQ20" s="851"/>
      <c r="BR20" s="851"/>
      <c r="BS20" s="851"/>
      <c r="BT20" s="851"/>
      <c r="BU20" s="851"/>
      <c r="BV20" s="851"/>
      <c r="BW20" s="851"/>
      <c r="BX20" s="851"/>
      <c r="BY20" s="851"/>
      <c r="BZ20" s="851"/>
      <c r="CA20" s="851"/>
      <c r="CB20" s="851"/>
      <c r="CC20" s="851"/>
      <c r="CD20" s="851"/>
      <c r="CE20" s="851"/>
      <c r="CF20" s="851"/>
      <c r="CG20" s="851"/>
      <c r="CH20" s="851"/>
      <c r="CI20" s="851"/>
    </row>
    <row r="21" spans="2:87" ht="16.95" customHeight="1">
      <c r="B21" s="860"/>
      <c r="C21" s="860"/>
      <c r="D21" s="860"/>
      <c r="E21" s="860"/>
      <c r="F21" s="860"/>
      <c r="G21" s="860"/>
      <c r="H21" s="860"/>
      <c r="I21" s="860"/>
      <c r="J21" s="860"/>
      <c r="K21" s="860"/>
      <c r="L21" s="860"/>
      <c r="M21" s="860"/>
      <c r="N21" s="860"/>
      <c r="O21" s="860"/>
      <c r="P21" s="860"/>
      <c r="Q21" s="860"/>
      <c r="R21" s="860"/>
      <c r="U21" s="851"/>
      <c r="V21" s="851"/>
      <c r="W21" s="851"/>
      <c r="X21" s="851"/>
      <c r="Y21" s="851"/>
      <c r="Z21" s="851"/>
      <c r="AA21" s="851"/>
      <c r="AB21" s="851"/>
      <c r="AC21" s="851"/>
      <c r="AD21" s="851"/>
      <c r="AE21" s="851"/>
      <c r="AF21" s="851"/>
      <c r="AG21" s="851"/>
      <c r="AH21" s="851"/>
      <c r="AI21" s="851"/>
      <c r="AJ21" s="851"/>
      <c r="AK21" s="851"/>
      <c r="AL21" s="851"/>
      <c r="AM21" s="851"/>
      <c r="AN21" s="851"/>
      <c r="AO21" s="851"/>
      <c r="AP21" s="851"/>
      <c r="AQ21" s="851"/>
      <c r="AU21" s="851"/>
      <c r="AV21" s="851"/>
      <c r="AW21" s="851"/>
      <c r="AX21" s="851"/>
      <c r="AY21" s="851"/>
      <c r="AZ21" s="851"/>
      <c r="BA21" s="851"/>
      <c r="BB21" s="851"/>
      <c r="BC21" s="851"/>
      <c r="BD21" s="851"/>
      <c r="BE21" s="851"/>
      <c r="BF21" s="851"/>
      <c r="BG21" s="851"/>
      <c r="BH21" s="851"/>
      <c r="BI21" s="851"/>
      <c r="BJ21" s="851"/>
      <c r="BK21" s="851"/>
      <c r="BL21" s="851"/>
      <c r="BM21" s="851"/>
      <c r="BN21" s="851"/>
      <c r="BP21" s="851"/>
      <c r="BQ21" s="851"/>
      <c r="BR21" s="851"/>
      <c r="BS21" s="851"/>
      <c r="BT21" s="851"/>
      <c r="BU21" s="851"/>
      <c r="BV21" s="851"/>
      <c r="BW21" s="851"/>
      <c r="BX21" s="851"/>
      <c r="BY21" s="851"/>
      <c r="BZ21" s="851"/>
      <c r="CA21" s="851"/>
      <c r="CB21" s="851"/>
      <c r="CC21" s="851"/>
      <c r="CD21" s="851"/>
      <c r="CE21" s="851"/>
      <c r="CF21" s="851"/>
      <c r="CG21" s="851"/>
      <c r="CH21" s="851"/>
      <c r="CI21" s="851"/>
    </row>
    <row r="22" spans="2:87" ht="16.95" customHeight="1">
      <c r="B22" s="860"/>
      <c r="C22" s="860"/>
      <c r="D22" s="860"/>
      <c r="E22" s="860"/>
      <c r="F22" s="860"/>
      <c r="G22" s="860"/>
      <c r="H22" s="860"/>
      <c r="I22" s="860"/>
      <c r="J22" s="860"/>
      <c r="K22" s="860"/>
      <c r="L22" s="860"/>
      <c r="M22" s="860"/>
      <c r="N22" s="860"/>
      <c r="O22" s="860"/>
      <c r="P22" s="860"/>
      <c r="Q22" s="860"/>
      <c r="R22" s="860"/>
      <c r="U22" s="851"/>
      <c r="V22" s="851"/>
      <c r="W22" s="851"/>
      <c r="X22" s="851"/>
      <c r="Y22" s="851"/>
      <c r="Z22" s="851"/>
      <c r="AA22" s="851"/>
      <c r="AB22" s="851"/>
      <c r="AC22" s="851"/>
      <c r="AD22" s="851"/>
      <c r="AE22" s="851"/>
      <c r="AF22" s="851"/>
      <c r="AG22" s="851"/>
      <c r="AH22" s="851"/>
      <c r="AI22" s="851"/>
      <c r="AJ22" s="851"/>
      <c r="AK22" s="851"/>
      <c r="AL22" s="851"/>
      <c r="AM22" s="851"/>
      <c r="AN22" s="851"/>
      <c r="AO22" s="851"/>
      <c r="AP22" s="851"/>
      <c r="AQ22" s="851"/>
      <c r="AU22" s="851"/>
      <c r="AV22" s="851"/>
      <c r="AW22" s="851"/>
      <c r="AX22" s="851"/>
      <c r="AY22" s="851"/>
      <c r="AZ22" s="851"/>
      <c r="BA22" s="851"/>
      <c r="BB22" s="851"/>
      <c r="BC22" s="851"/>
      <c r="BD22" s="851"/>
      <c r="BE22" s="851"/>
      <c r="BF22" s="851"/>
      <c r="BG22" s="851"/>
      <c r="BH22" s="851"/>
      <c r="BI22" s="851"/>
      <c r="BJ22" s="851"/>
      <c r="BK22" s="851"/>
      <c r="BL22" s="851"/>
      <c r="BM22" s="851"/>
      <c r="BN22" s="851"/>
      <c r="BP22" s="851"/>
      <c r="BQ22" s="851"/>
      <c r="BR22" s="851"/>
      <c r="BS22" s="851"/>
      <c r="BT22" s="851"/>
      <c r="BU22" s="851"/>
      <c r="BV22" s="851"/>
      <c r="BW22" s="851"/>
      <c r="BX22" s="851"/>
      <c r="BY22" s="851"/>
      <c r="BZ22" s="851"/>
      <c r="CA22" s="851"/>
      <c r="CB22" s="851"/>
      <c r="CC22" s="851"/>
      <c r="CD22" s="851"/>
      <c r="CE22" s="851"/>
      <c r="CF22" s="851"/>
      <c r="CG22" s="851"/>
      <c r="CH22" s="851"/>
      <c r="CI22" s="851"/>
    </row>
    <row r="23" spans="2:87" ht="16.95" customHeight="1">
      <c r="B23" s="860"/>
      <c r="C23" s="860"/>
      <c r="D23" s="860"/>
      <c r="E23" s="860"/>
      <c r="F23" s="860"/>
      <c r="G23" s="860"/>
      <c r="H23" s="860"/>
      <c r="I23" s="860"/>
      <c r="J23" s="860"/>
      <c r="K23" s="860"/>
      <c r="L23" s="860"/>
      <c r="M23" s="860"/>
      <c r="N23" s="860"/>
      <c r="O23" s="860"/>
      <c r="P23" s="860"/>
      <c r="Q23" s="860"/>
      <c r="R23" s="860"/>
      <c r="U23" s="851"/>
      <c r="V23" s="851"/>
      <c r="W23" s="851"/>
      <c r="X23" s="851"/>
      <c r="Y23" s="851"/>
      <c r="Z23" s="851"/>
      <c r="AA23" s="851"/>
      <c r="AB23" s="851"/>
      <c r="AC23" s="851"/>
      <c r="AD23" s="851"/>
      <c r="AE23" s="851"/>
      <c r="AF23" s="851"/>
      <c r="AG23" s="851"/>
      <c r="AH23" s="851"/>
      <c r="AI23" s="851"/>
      <c r="AJ23" s="851"/>
      <c r="AK23" s="851"/>
      <c r="AL23" s="851"/>
      <c r="AM23" s="851"/>
      <c r="AN23" s="851"/>
      <c r="AO23" s="851"/>
      <c r="AP23" s="851"/>
      <c r="AQ23" s="851"/>
      <c r="AU23" s="851"/>
      <c r="AV23" s="851"/>
      <c r="AW23" s="851"/>
      <c r="AX23" s="851"/>
      <c r="AY23" s="851"/>
      <c r="AZ23" s="851"/>
      <c r="BA23" s="851"/>
      <c r="BB23" s="851"/>
      <c r="BC23" s="851"/>
      <c r="BD23" s="851"/>
      <c r="BE23" s="851"/>
      <c r="BF23" s="851"/>
      <c r="BG23" s="851"/>
      <c r="BH23" s="851"/>
      <c r="BI23" s="851"/>
      <c r="BJ23" s="851"/>
      <c r="BK23" s="851"/>
      <c r="BL23" s="851"/>
      <c r="BM23" s="851"/>
      <c r="BN23" s="851"/>
      <c r="BP23" s="851"/>
      <c r="BQ23" s="851"/>
      <c r="BR23" s="851"/>
      <c r="BS23" s="851"/>
      <c r="BT23" s="851"/>
      <c r="BU23" s="851"/>
      <c r="BV23" s="851"/>
      <c r="BW23" s="851"/>
      <c r="BX23" s="851"/>
      <c r="BY23" s="851"/>
      <c r="BZ23" s="851"/>
      <c r="CA23" s="851"/>
      <c r="CB23" s="851"/>
      <c r="CC23" s="851"/>
      <c r="CD23" s="851"/>
      <c r="CE23" s="851"/>
      <c r="CF23" s="851"/>
      <c r="CG23" s="851"/>
      <c r="CH23" s="851"/>
      <c r="CI23" s="851"/>
    </row>
    <row r="24" spans="2:87" ht="16.95" customHeight="1">
      <c r="B24" s="860"/>
      <c r="C24" s="860"/>
      <c r="D24" s="860"/>
      <c r="E24" s="860"/>
      <c r="F24" s="860"/>
      <c r="G24" s="860"/>
      <c r="H24" s="860"/>
      <c r="I24" s="860"/>
      <c r="J24" s="860"/>
      <c r="K24" s="860"/>
      <c r="L24" s="860"/>
      <c r="M24" s="860"/>
      <c r="N24" s="860"/>
      <c r="O24" s="860"/>
      <c r="P24" s="860"/>
      <c r="Q24" s="860"/>
      <c r="R24" s="860"/>
      <c r="U24" s="851"/>
      <c r="V24" s="851"/>
      <c r="W24" s="851"/>
      <c r="X24" s="851"/>
      <c r="Y24" s="851"/>
      <c r="Z24" s="851"/>
      <c r="AA24" s="851"/>
      <c r="AB24" s="851"/>
      <c r="AC24" s="851"/>
      <c r="AD24" s="851"/>
      <c r="AE24" s="851"/>
      <c r="AF24" s="851"/>
      <c r="AG24" s="851"/>
      <c r="AH24" s="851"/>
      <c r="AI24" s="851"/>
      <c r="AJ24" s="851"/>
      <c r="AK24" s="851"/>
      <c r="AL24" s="851"/>
      <c r="AM24" s="851"/>
      <c r="AN24" s="851"/>
      <c r="AO24" s="851"/>
      <c r="AP24" s="851"/>
      <c r="AQ24" s="851"/>
      <c r="AU24" s="851"/>
      <c r="AV24" s="851"/>
      <c r="AW24" s="851"/>
      <c r="AX24" s="851"/>
      <c r="AY24" s="851"/>
      <c r="AZ24" s="851"/>
      <c r="BA24" s="851"/>
      <c r="BB24" s="851"/>
      <c r="BC24" s="851"/>
      <c r="BD24" s="851"/>
      <c r="BE24" s="851"/>
      <c r="BF24" s="851"/>
      <c r="BG24" s="851"/>
      <c r="BH24" s="851"/>
      <c r="BI24" s="851"/>
      <c r="BJ24" s="851"/>
      <c r="BK24" s="851"/>
      <c r="BL24" s="851"/>
      <c r="BM24" s="851"/>
      <c r="BN24" s="851"/>
      <c r="BP24" s="851"/>
      <c r="BQ24" s="851"/>
      <c r="BR24" s="851"/>
      <c r="BS24" s="851"/>
      <c r="BT24" s="851"/>
      <c r="BU24" s="851"/>
      <c r="BV24" s="851"/>
      <c r="BW24" s="851"/>
      <c r="BX24" s="851"/>
      <c r="BY24" s="851"/>
      <c r="BZ24" s="851"/>
      <c r="CA24" s="851"/>
      <c r="CB24" s="851"/>
      <c r="CC24" s="851"/>
      <c r="CD24" s="851"/>
      <c r="CE24" s="851"/>
      <c r="CF24" s="851"/>
      <c r="CG24" s="851"/>
      <c r="CH24" s="851"/>
      <c r="CI24" s="851"/>
    </row>
    <row r="25" spans="2:87" ht="16.95" customHeight="1">
      <c r="B25" s="860"/>
      <c r="C25" s="860"/>
      <c r="D25" s="860"/>
      <c r="E25" s="860"/>
      <c r="F25" s="860"/>
      <c r="G25" s="860"/>
      <c r="H25" s="860"/>
      <c r="I25" s="860"/>
      <c r="J25" s="860"/>
      <c r="K25" s="860"/>
      <c r="L25" s="860"/>
      <c r="M25" s="860"/>
      <c r="N25" s="860"/>
      <c r="O25" s="860"/>
      <c r="P25" s="860"/>
      <c r="Q25" s="860"/>
      <c r="R25" s="860"/>
      <c r="U25" s="851"/>
      <c r="V25" s="851"/>
      <c r="W25" s="851"/>
      <c r="X25" s="851"/>
      <c r="Y25" s="851"/>
      <c r="Z25" s="851"/>
      <c r="AA25" s="851"/>
      <c r="AB25" s="851"/>
      <c r="AC25" s="851"/>
      <c r="AD25" s="851"/>
      <c r="AE25" s="851"/>
      <c r="AF25" s="851"/>
      <c r="AG25" s="851"/>
      <c r="AH25" s="851"/>
      <c r="AI25" s="851"/>
      <c r="AJ25" s="851"/>
      <c r="AK25" s="851"/>
      <c r="AL25" s="851"/>
      <c r="AM25" s="851"/>
      <c r="AN25" s="851"/>
      <c r="AO25" s="851"/>
      <c r="AP25" s="851"/>
      <c r="AQ25" s="851"/>
      <c r="AU25" s="851"/>
      <c r="AV25" s="851"/>
      <c r="AW25" s="851"/>
      <c r="AX25" s="851"/>
      <c r="AY25" s="851"/>
      <c r="AZ25" s="851"/>
      <c r="BA25" s="851"/>
      <c r="BB25" s="851"/>
      <c r="BC25" s="851"/>
      <c r="BD25" s="851"/>
      <c r="BE25" s="851"/>
      <c r="BF25" s="851"/>
      <c r="BG25" s="851"/>
      <c r="BH25" s="851"/>
      <c r="BI25" s="851"/>
      <c r="BJ25" s="851"/>
      <c r="BK25" s="851"/>
      <c r="BL25" s="851"/>
      <c r="BM25" s="851"/>
      <c r="BN25" s="851"/>
      <c r="BP25" s="851"/>
      <c r="BQ25" s="851"/>
      <c r="BR25" s="851"/>
      <c r="BS25" s="851"/>
      <c r="BT25" s="851"/>
      <c r="BU25" s="851"/>
      <c r="BV25" s="851"/>
      <c r="BW25" s="851"/>
      <c r="BX25" s="851"/>
      <c r="BY25" s="851"/>
      <c r="BZ25" s="851"/>
      <c r="CA25" s="851"/>
      <c r="CB25" s="851"/>
      <c r="CC25" s="851"/>
      <c r="CD25" s="851"/>
      <c r="CE25" s="851"/>
      <c r="CF25" s="851"/>
      <c r="CG25" s="851"/>
      <c r="CH25" s="851"/>
      <c r="CI25" s="851"/>
    </row>
    <row r="26" spans="2:87" ht="16.95" customHeight="1">
      <c r="B26" s="860"/>
      <c r="C26" s="860"/>
      <c r="D26" s="860"/>
      <c r="E26" s="860"/>
      <c r="F26" s="860"/>
      <c r="G26" s="860"/>
      <c r="H26" s="860"/>
      <c r="I26" s="860"/>
      <c r="J26" s="860"/>
      <c r="K26" s="860"/>
      <c r="L26" s="860"/>
      <c r="M26" s="860"/>
      <c r="N26" s="860"/>
      <c r="O26" s="860"/>
      <c r="P26" s="860"/>
      <c r="Q26" s="860"/>
      <c r="R26" s="860"/>
      <c r="U26" s="851"/>
      <c r="V26" s="851"/>
      <c r="W26" s="851"/>
      <c r="X26" s="851"/>
      <c r="Y26" s="851"/>
      <c r="Z26" s="851"/>
      <c r="AA26" s="851"/>
      <c r="AB26" s="851"/>
      <c r="AC26" s="851"/>
      <c r="AD26" s="851"/>
      <c r="AE26" s="851"/>
      <c r="AF26" s="851"/>
      <c r="AG26" s="851"/>
      <c r="AH26" s="851"/>
      <c r="AI26" s="851"/>
      <c r="AJ26" s="851"/>
      <c r="AK26" s="851"/>
      <c r="AL26" s="851"/>
      <c r="AM26" s="851"/>
      <c r="AN26" s="851"/>
      <c r="AO26" s="851"/>
      <c r="AP26" s="851"/>
      <c r="AQ26" s="851"/>
      <c r="AU26" s="851"/>
      <c r="AV26" s="851"/>
      <c r="AW26" s="851"/>
      <c r="AX26" s="851"/>
      <c r="AY26" s="851"/>
      <c r="AZ26" s="851"/>
      <c r="BA26" s="851"/>
      <c r="BB26" s="851"/>
      <c r="BC26" s="851"/>
      <c r="BD26" s="851"/>
      <c r="BE26" s="851"/>
      <c r="BF26" s="851"/>
      <c r="BG26" s="851"/>
      <c r="BH26" s="851"/>
      <c r="BI26" s="851"/>
      <c r="BJ26" s="851"/>
      <c r="BK26" s="851"/>
      <c r="BL26" s="851"/>
      <c r="BM26" s="851"/>
      <c r="BN26" s="851"/>
      <c r="BP26" s="851"/>
      <c r="BQ26" s="851"/>
      <c r="BR26" s="851"/>
      <c r="BS26" s="851"/>
      <c r="BT26" s="851"/>
      <c r="BU26" s="851"/>
      <c r="BV26" s="851"/>
      <c r="BW26" s="851"/>
      <c r="BX26" s="851"/>
      <c r="BY26" s="851"/>
      <c r="BZ26" s="851"/>
      <c r="CA26" s="851"/>
      <c r="CB26" s="851"/>
      <c r="CC26" s="851"/>
      <c r="CD26" s="851"/>
      <c r="CE26" s="851"/>
      <c r="CF26" s="851"/>
      <c r="CG26" s="851"/>
      <c r="CH26" s="851"/>
      <c r="CI26" s="851"/>
    </row>
    <row r="27" spans="2:87" ht="16.95" customHeight="1">
      <c r="B27" s="860"/>
      <c r="C27" s="860"/>
      <c r="D27" s="860"/>
      <c r="E27" s="860"/>
      <c r="F27" s="860"/>
      <c r="G27" s="860"/>
      <c r="H27" s="860"/>
      <c r="I27" s="860"/>
      <c r="J27" s="860"/>
      <c r="K27" s="860"/>
      <c r="L27" s="860"/>
      <c r="M27" s="860"/>
      <c r="N27" s="860"/>
      <c r="O27" s="860"/>
      <c r="P27" s="860"/>
      <c r="Q27" s="860"/>
      <c r="R27" s="860"/>
      <c r="U27" s="851"/>
      <c r="V27" s="851"/>
      <c r="W27" s="851"/>
      <c r="X27" s="851"/>
      <c r="Y27" s="851"/>
      <c r="Z27" s="851"/>
      <c r="AA27" s="851"/>
      <c r="AB27" s="851"/>
      <c r="AC27" s="851"/>
      <c r="AD27" s="851"/>
      <c r="AE27" s="851"/>
      <c r="AF27" s="851"/>
      <c r="AG27" s="851"/>
      <c r="AH27" s="851"/>
      <c r="AI27" s="851"/>
      <c r="AJ27" s="851"/>
      <c r="AK27" s="851"/>
      <c r="AL27" s="851"/>
      <c r="AM27" s="851"/>
      <c r="AN27" s="851"/>
      <c r="AO27" s="851"/>
      <c r="AP27" s="851"/>
      <c r="AQ27" s="851"/>
      <c r="AU27" s="851"/>
      <c r="AV27" s="851"/>
      <c r="AW27" s="851"/>
      <c r="AX27" s="851"/>
      <c r="AY27" s="851"/>
      <c r="AZ27" s="851"/>
      <c r="BA27" s="851"/>
      <c r="BB27" s="851"/>
      <c r="BC27" s="851"/>
      <c r="BD27" s="851"/>
      <c r="BE27" s="851"/>
      <c r="BF27" s="851"/>
      <c r="BG27" s="851"/>
      <c r="BH27" s="851"/>
      <c r="BI27" s="851"/>
      <c r="BJ27" s="851"/>
      <c r="BK27" s="851"/>
      <c r="BL27" s="851"/>
      <c r="BM27" s="851"/>
      <c r="BN27" s="851"/>
      <c r="BP27" s="851"/>
      <c r="BQ27" s="851"/>
      <c r="BR27" s="851"/>
      <c r="BS27" s="851"/>
      <c r="BT27" s="851"/>
      <c r="BU27" s="851"/>
      <c r="BV27" s="851"/>
      <c r="BW27" s="851"/>
      <c r="BX27" s="851"/>
      <c r="BY27" s="851"/>
      <c r="BZ27" s="851"/>
      <c r="CA27" s="851"/>
      <c r="CB27" s="851"/>
      <c r="CC27" s="851"/>
      <c r="CD27" s="851"/>
      <c r="CE27" s="851"/>
      <c r="CF27" s="851"/>
      <c r="CG27" s="851"/>
      <c r="CH27" s="851"/>
      <c r="CI27" s="851"/>
    </row>
    <row r="28" spans="2:87" ht="16.95" customHeight="1">
      <c r="B28" s="860"/>
      <c r="C28" s="860"/>
      <c r="D28" s="860"/>
      <c r="E28" s="860"/>
      <c r="F28" s="860"/>
      <c r="G28" s="860"/>
      <c r="H28" s="860"/>
      <c r="I28" s="860"/>
      <c r="J28" s="860"/>
      <c r="K28" s="860"/>
      <c r="L28" s="860"/>
      <c r="M28" s="860"/>
      <c r="N28" s="860"/>
      <c r="O28" s="860"/>
      <c r="P28" s="860"/>
      <c r="Q28" s="860"/>
      <c r="R28" s="860"/>
      <c r="U28" s="851"/>
      <c r="V28" s="851"/>
      <c r="W28" s="851"/>
      <c r="X28" s="851"/>
      <c r="Y28" s="851"/>
      <c r="Z28" s="851"/>
      <c r="AA28" s="851"/>
      <c r="AB28" s="851"/>
      <c r="AC28" s="851"/>
      <c r="AD28" s="851"/>
      <c r="AE28" s="851"/>
      <c r="AF28" s="851"/>
      <c r="AG28" s="851"/>
      <c r="AH28" s="851"/>
      <c r="AI28" s="851"/>
      <c r="AJ28" s="851"/>
      <c r="AK28" s="851"/>
      <c r="AL28" s="851"/>
      <c r="AM28" s="851"/>
      <c r="AN28" s="851"/>
      <c r="AO28" s="851"/>
      <c r="AP28" s="851"/>
      <c r="AQ28" s="851"/>
      <c r="AU28" s="851"/>
      <c r="AV28" s="851"/>
      <c r="AW28" s="851"/>
      <c r="AX28" s="851"/>
      <c r="AY28" s="851"/>
      <c r="AZ28" s="851"/>
      <c r="BA28" s="851"/>
      <c r="BB28" s="851"/>
      <c r="BC28" s="851"/>
      <c r="BD28" s="851"/>
      <c r="BE28" s="851"/>
      <c r="BF28" s="851"/>
      <c r="BG28" s="851"/>
      <c r="BH28" s="851"/>
      <c r="BI28" s="851"/>
      <c r="BJ28" s="851"/>
      <c r="BK28" s="851"/>
      <c r="BL28" s="851"/>
      <c r="BM28" s="851"/>
      <c r="BN28" s="851"/>
      <c r="BP28" s="851"/>
      <c r="BQ28" s="851"/>
      <c r="BR28" s="851"/>
      <c r="BS28" s="851"/>
      <c r="BT28" s="851"/>
      <c r="BU28" s="851"/>
      <c r="BV28" s="851"/>
      <c r="BW28" s="851"/>
      <c r="BX28" s="851"/>
      <c r="BY28" s="851"/>
      <c r="BZ28" s="851"/>
      <c r="CA28" s="851"/>
      <c r="CB28" s="851"/>
      <c r="CC28" s="851"/>
      <c r="CD28" s="851"/>
      <c r="CE28" s="851"/>
      <c r="CF28" s="851"/>
      <c r="CG28" s="851"/>
      <c r="CH28" s="851"/>
      <c r="CI28" s="851"/>
    </row>
    <row r="29" spans="2:87" ht="16.95" customHeight="1">
      <c r="B29" s="860"/>
      <c r="C29" s="860"/>
      <c r="D29" s="860"/>
      <c r="E29" s="860"/>
      <c r="F29" s="860"/>
      <c r="G29" s="860"/>
      <c r="H29" s="860"/>
      <c r="I29" s="860"/>
      <c r="J29" s="860"/>
      <c r="K29" s="860"/>
      <c r="L29" s="860"/>
      <c r="M29" s="860"/>
      <c r="N29" s="860"/>
      <c r="O29" s="860"/>
      <c r="P29" s="860"/>
      <c r="Q29" s="860"/>
      <c r="R29" s="860"/>
      <c r="U29" s="851"/>
      <c r="V29" s="851"/>
      <c r="W29" s="851"/>
      <c r="X29" s="851"/>
      <c r="Y29" s="851"/>
      <c r="Z29" s="851"/>
      <c r="AA29" s="851"/>
      <c r="AB29" s="851"/>
      <c r="AC29" s="851"/>
      <c r="AD29" s="851"/>
      <c r="AE29" s="851"/>
      <c r="AF29" s="851"/>
      <c r="AG29" s="851"/>
      <c r="AH29" s="851"/>
      <c r="AI29" s="851"/>
      <c r="AJ29" s="851"/>
      <c r="AK29" s="851"/>
      <c r="AL29" s="851"/>
      <c r="AM29" s="851"/>
      <c r="AN29" s="851"/>
      <c r="AO29" s="851"/>
      <c r="AP29" s="851"/>
      <c r="AQ29" s="851"/>
      <c r="AU29" s="851"/>
      <c r="AV29" s="851"/>
      <c r="AW29" s="851"/>
      <c r="AX29" s="851"/>
      <c r="AY29" s="851"/>
      <c r="AZ29" s="851"/>
      <c r="BA29" s="851"/>
      <c r="BB29" s="851"/>
      <c r="BC29" s="851"/>
      <c r="BD29" s="851"/>
      <c r="BE29" s="851"/>
      <c r="BF29" s="851"/>
      <c r="BG29" s="851"/>
      <c r="BH29" s="851"/>
      <c r="BI29" s="851"/>
      <c r="BJ29" s="851"/>
      <c r="BK29" s="851"/>
      <c r="BL29" s="851"/>
      <c r="BM29" s="851"/>
      <c r="BN29" s="851"/>
      <c r="BP29" s="851"/>
      <c r="BQ29" s="851"/>
      <c r="BR29" s="851"/>
      <c r="BS29" s="851"/>
      <c r="BT29" s="851"/>
      <c r="BU29" s="851"/>
      <c r="BV29" s="851"/>
      <c r="BW29" s="851"/>
      <c r="BX29" s="851"/>
      <c r="BY29" s="851"/>
      <c r="BZ29" s="851"/>
      <c r="CA29" s="851"/>
      <c r="CB29" s="851"/>
      <c r="CC29" s="851"/>
      <c r="CD29" s="851"/>
      <c r="CE29" s="851"/>
      <c r="CF29" s="851"/>
      <c r="CG29" s="851"/>
      <c r="CH29" s="851"/>
      <c r="CI29" s="851"/>
    </row>
    <row r="30" spans="2:87" ht="16.95" customHeight="1">
      <c r="B30" s="860"/>
      <c r="C30" s="860"/>
      <c r="D30" s="860"/>
      <c r="E30" s="860"/>
      <c r="F30" s="860"/>
      <c r="G30" s="860"/>
      <c r="H30" s="860"/>
      <c r="I30" s="860"/>
      <c r="J30" s="860"/>
      <c r="K30" s="860"/>
      <c r="L30" s="860"/>
      <c r="M30" s="860"/>
      <c r="N30" s="860"/>
      <c r="O30" s="860"/>
      <c r="P30" s="860"/>
      <c r="Q30" s="860"/>
      <c r="R30" s="860"/>
      <c r="U30" s="851"/>
      <c r="V30" s="851"/>
      <c r="W30" s="851"/>
      <c r="X30" s="851"/>
      <c r="Y30" s="851"/>
      <c r="Z30" s="851"/>
      <c r="AA30" s="851"/>
      <c r="AB30" s="851"/>
      <c r="AC30" s="851"/>
      <c r="AD30" s="851"/>
      <c r="AE30" s="851"/>
      <c r="AF30" s="851"/>
      <c r="AG30" s="851"/>
      <c r="AH30" s="851"/>
      <c r="AI30" s="851"/>
      <c r="AJ30" s="851"/>
      <c r="AK30" s="851"/>
      <c r="AL30" s="851"/>
      <c r="AM30" s="851"/>
      <c r="AN30" s="851"/>
      <c r="AO30" s="851"/>
      <c r="AP30" s="851"/>
      <c r="AQ30" s="851"/>
    </row>
    <row r="31" spans="2:87" ht="16.95" customHeight="1">
      <c r="B31" s="860"/>
      <c r="C31" s="860"/>
      <c r="D31" s="860"/>
      <c r="E31" s="860"/>
      <c r="F31" s="860"/>
      <c r="G31" s="860"/>
      <c r="H31" s="860"/>
      <c r="I31" s="860"/>
      <c r="J31" s="860"/>
      <c r="K31" s="860"/>
      <c r="L31" s="860"/>
      <c r="M31" s="860"/>
      <c r="N31" s="860"/>
      <c r="O31" s="860"/>
      <c r="P31" s="860"/>
      <c r="Q31" s="860"/>
      <c r="R31" s="860"/>
      <c r="U31" s="843" t="s">
        <v>77</v>
      </c>
      <c r="V31" s="843"/>
      <c r="W31" s="843"/>
      <c r="X31" s="843"/>
      <c r="Y31" s="843"/>
      <c r="Z31" s="843"/>
      <c r="AA31" s="843"/>
      <c r="AB31" s="843"/>
      <c r="AC31" s="843"/>
      <c r="AD31" s="843"/>
      <c r="AE31" s="843"/>
      <c r="AF31" s="843"/>
      <c r="AG31" s="843"/>
      <c r="AH31" s="843"/>
      <c r="AI31" s="843"/>
      <c r="AJ31" s="843"/>
      <c r="AK31" s="843"/>
      <c r="AL31" s="843"/>
      <c r="AM31" s="843"/>
      <c r="AN31" s="843"/>
      <c r="AO31" s="843"/>
      <c r="AP31" s="843"/>
      <c r="AQ31" s="843"/>
    </row>
    <row r="32" spans="2:87" ht="16.95" customHeight="1">
      <c r="B32" s="860"/>
      <c r="C32" s="860"/>
      <c r="D32" s="860"/>
      <c r="E32" s="860"/>
      <c r="F32" s="860"/>
      <c r="G32" s="860"/>
      <c r="H32" s="860"/>
      <c r="I32" s="860"/>
      <c r="J32" s="860"/>
      <c r="K32" s="860"/>
      <c r="L32" s="860"/>
      <c r="M32" s="860"/>
      <c r="N32" s="860"/>
      <c r="O32" s="860"/>
      <c r="P32" s="860"/>
      <c r="Q32" s="860"/>
      <c r="R32" s="860"/>
      <c r="U32" s="844"/>
      <c r="V32" s="844"/>
      <c r="W32" s="844"/>
      <c r="X32" s="844"/>
      <c r="Y32" s="844"/>
      <c r="Z32" s="844"/>
      <c r="AA32" s="844"/>
      <c r="AB32" s="844"/>
      <c r="AC32" s="844"/>
      <c r="AD32" s="844"/>
      <c r="AE32" s="844"/>
      <c r="AF32" s="844"/>
      <c r="AG32" s="844"/>
      <c r="AH32" s="844"/>
      <c r="AI32" s="844"/>
      <c r="AJ32" s="844"/>
      <c r="AK32" s="844"/>
      <c r="AL32" s="844"/>
      <c r="AM32" s="844"/>
      <c r="AN32" s="844"/>
      <c r="AO32" s="844"/>
      <c r="AP32" s="844"/>
      <c r="AQ32" s="844"/>
    </row>
    <row r="33" spans="2:43" ht="16.95" customHeight="1">
      <c r="B33" s="860"/>
      <c r="C33" s="860"/>
      <c r="D33" s="860"/>
      <c r="E33" s="860"/>
      <c r="F33" s="860"/>
      <c r="G33" s="860"/>
      <c r="H33" s="860"/>
      <c r="I33" s="860"/>
      <c r="J33" s="860"/>
      <c r="K33" s="860"/>
      <c r="L33" s="860"/>
      <c r="M33" s="860"/>
      <c r="N33" s="860"/>
      <c r="O33" s="860"/>
      <c r="P33" s="860"/>
      <c r="Q33" s="860"/>
      <c r="R33" s="860"/>
      <c r="U33" s="844"/>
      <c r="V33" s="844"/>
      <c r="W33" s="844"/>
      <c r="X33" s="844"/>
      <c r="Y33" s="844"/>
      <c r="Z33" s="844"/>
      <c r="AA33" s="844"/>
      <c r="AB33" s="844"/>
      <c r="AC33" s="844"/>
      <c r="AD33" s="844"/>
      <c r="AE33" s="844"/>
      <c r="AF33" s="844"/>
      <c r="AG33" s="844"/>
      <c r="AH33" s="844"/>
      <c r="AI33" s="844"/>
      <c r="AJ33" s="844"/>
      <c r="AK33" s="844"/>
      <c r="AL33" s="844"/>
      <c r="AM33" s="844"/>
      <c r="AN33" s="844"/>
      <c r="AO33" s="844"/>
      <c r="AP33" s="844"/>
      <c r="AQ33" s="844"/>
    </row>
    <row r="34" spans="2:43" ht="16.95" customHeight="1">
      <c r="B34" s="860"/>
      <c r="C34" s="860"/>
      <c r="D34" s="860"/>
      <c r="E34" s="860"/>
      <c r="F34" s="860"/>
      <c r="G34" s="860"/>
      <c r="H34" s="860"/>
      <c r="I34" s="860"/>
      <c r="J34" s="860"/>
      <c r="K34" s="860"/>
      <c r="L34" s="860"/>
      <c r="M34" s="860"/>
      <c r="N34" s="860"/>
      <c r="O34" s="860"/>
      <c r="P34" s="860"/>
      <c r="Q34" s="860"/>
      <c r="R34" s="860"/>
      <c r="U34" s="844"/>
      <c r="V34" s="844"/>
      <c r="W34" s="844"/>
      <c r="X34" s="844"/>
      <c r="Y34" s="844"/>
      <c r="Z34" s="844"/>
      <c r="AA34" s="844"/>
      <c r="AB34" s="844"/>
      <c r="AC34" s="844"/>
      <c r="AD34" s="844"/>
      <c r="AE34" s="844"/>
      <c r="AF34" s="844"/>
      <c r="AG34" s="844"/>
      <c r="AH34" s="844"/>
      <c r="AI34" s="844"/>
      <c r="AJ34" s="844"/>
      <c r="AK34" s="844"/>
      <c r="AL34" s="844"/>
      <c r="AM34" s="844"/>
      <c r="AN34" s="844"/>
      <c r="AO34" s="844"/>
      <c r="AP34" s="844"/>
      <c r="AQ34" s="844"/>
    </row>
    <row r="35" spans="2:43" ht="16.95" customHeight="1">
      <c r="B35" s="860"/>
      <c r="C35" s="860"/>
      <c r="D35" s="860"/>
      <c r="E35" s="860"/>
      <c r="F35" s="860"/>
      <c r="G35" s="860"/>
      <c r="H35" s="860"/>
      <c r="I35" s="860"/>
      <c r="J35" s="860"/>
      <c r="K35" s="860"/>
      <c r="L35" s="860"/>
      <c r="M35" s="860"/>
      <c r="N35" s="860"/>
      <c r="O35" s="860"/>
      <c r="P35" s="860"/>
      <c r="Q35" s="860"/>
      <c r="R35" s="860"/>
      <c r="U35" s="844"/>
      <c r="V35" s="844"/>
      <c r="W35" s="844"/>
      <c r="X35" s="844"/>
      <c r="Y35" s="844"/>
      <c r="Z35" s="844"/>
      <c r="AA35" s="844"/>
      <c r="AB35" s="844"/>
      <c r="AC35" s="844"/>
      <c r="AD35" s="844"/>
      <c r="AE35" s="844"/>
      <c r="AF35" s="844"/>
      <c r="AG35" s="844"/>
      <c r="AH35" s="844"/>
      <c r="AI35" s="844"/>
      <c r="AJ35" s="844"/>
      <c r="AK35" s="844"/>
      <c r="AL35" s="844"/>
      <c r="AM35" s="844"/>
      <c r="AN35" s="844"/>
      <c r="AO35" s="844"/>
      <c r="AP35" s="844"/>
      <c r="AQ35" s="844"/>
    </row>
    <row r="36" spans="2:43" ht="16.95" customHeight="1">
      <c r="B36" s="861"/>
      <c r="C36" s="861"/>
      <c r="D36" s="861"/>
      <c r="E36" s="861"/>
      <c r="F36" s="861"/>
      <c r="G36" s="861"/>
      <c r="H36" s="861"/>
      <c r="I36" s="861"/>
      <c r="J36" s="861"/>
      <c r="K36" s="861"/>
      <c r="L36" s="861"/>
      <c r="M36" s="861"/>
      <c r="N36" s="861"/>
      <c r="O36" s="861"/>
      <c r="P36" s="861"/>
      <c r="Q36" s="861"/>
      <c r="R36" s="861"/>
      <c r="U36" s="844"/>
      <c r="V36" s="844"/>
      <c r="W36" s="844"/>
      <c r="X36" s="844"/>
      <c r="Y36" s="844"/>
      <c r="Z36" s="844"/>
      <c r="AA36" s="844"/>
      <c r="AB36" s="844"/>
      <c r="AC36" s="844"/>
      <c r="AD36" s="844"/>
      <c r="AE36" s="844"/>
      <c r="AF36" s="844"/>
      <c r="AG36" s="844"/>
      <c r="AH36" s="844"/>
      <c r="AI36" s="844"/>
      <c r="AJ36" s="844"/>
      <c r="AK36" s="844"/>
      <c r="AL36" s="844"/>
      <c r="AM36" s="844"/>
      <c r="AN36" s="844"/>
      <c r="AO36" s="844"/>
      <c r="AP36" s="844"/>
      <c r="AQ36" s="844"/>
    </row>
    <row r="37" spans="2:43" ht="16.95" customHeight="1">
      <c r="B37" s="841" t="s">
        <v>5969</v>
      </c>
      <c r="C37" s="841"/>
      <c r="D37" s="841"/>
      <c r="E37" s="841"/>
      <c r="F37" s="841"/>
      <c r="G37" s="841"/>
      <c r="H37" s="841"/>
      <c r="I37" s="841"/>
      <c r="J37" s="841"/>
      <c r="K37" s="841"/>
      <c r="L37" s="841"/>
      <c r="M37" s="841"/>
      <c r="N37" s="841"/>
      <c r="O37" s="841"/>
      <c r="P37" s="841"/>
      <c r="Q37" s="841"/>
      <c r="R37" s="841"/>
      <c r="U37" s="844"/>
      <c r="V37" s="844"/>
      <c r="W37" s="844"/>
      <c r="X37" s="844"/>
      <c r="Y37" s="844"/>
      <c r="Z37" s="844"/>
      <c r="AA37" s="844"/>
      <c r="AB37" s="844"/>
      <c r="AC37" s="844"/>
      <c r="AD37" s="844"/>
      <c r="AE37" s="844"/>
      <c r="AF37" s="844"/>
      <c r="AG37" s="844"/>
      <c r="AH37" s="844"/>
      <c r="AI37" s="844"/>
      <c r="AJ37" s="844"/>
      <c r="AK37" s="844"/>
      <c r="AL37" s="844"/>
      <c r="AM37" s="844"/>
      <c r="AN37" s="844"/>
      <c r="AO37" s="844"/>
      <c r="AP37" s="844"/>
      <c r="AQ37" s="844"/>
    </row>
    <row r="38" spans="2:43" ht="16.95" customHeight="1">
      <c r="B38" s="842"/>
      <c r="C38" s="842"/>
      <c r="D38" s="842"/>
      <c r="E38" s="842"/>
      <c r="F38" s="842"/>
      <c r="G38" s="842"/>
      <c r="H38" s="842"/>
      <c r="I38" s="842"/>
      <c r="J38" s="842"/>
      <c r="K38" s="842"/>
      <c r="L38" s="842"/>
      <c r="M38" s="842"/>
      <c r="N38" s="842"/>
      <c r="O38" s="842"/>
      <c r="P38" s="842"/>
      <c r="Q38" s="842"/>
      <c r="R38" s="842"/>
      <c r="U38" s="844"/>
      <c r="V38" s="844"/>
      <c r="W38" s="844"/>
      <c r="X38" s="844"/>
      <c r="Y38" s="844"/>
      <c r="Z38" s="844"/>
      <c r="AA38" s="844"/>
      <c r="AB38" s="844"/>
      <c r="AC38" s="844"/>
      <c r="AD38" s="844"/>
      <c r="AE38" s="844"/>
      <c r="AF38" s="844"/>
      <c r="AG38" s="844"/>
      <c r="AH38" s="844"/>
      <c r="AI38" s="844"/>
      <c r="AJ38" s="844"/>
      <c r="AK38" s="844"/>
      <c r="AL38" s="844"/>
      <c r="AM38" s="844"/>
      <c r="AN38" s="844"/>
      <c r="AO38" s="844"/>
      <c r="AP38" s="844"/>
      <c r="AQ38" s="844"/>
    </row>
    <row r="39" spans="2:43" ht="16.95" customHeight="1">
      <c r="B39" s="842"/>
      <c r="C39" s="842"/>
      <c r="D39" s="842"/>
      <c r="E39" s="842"/>
      <c r="F39" s="842"/>
      <c r="G39" s="842"/>
      <c r="H39" s="842"/>
      <c r="I39" s="842"/>
      <c r="J39" s="842"/>
      <c r="K39" s="842"/>
      <c r="L39" s="842"/>
      <c r="M39" s="842"/>
      <c r="N39" s="842"/>
      <c r="O39" s="842"/>
      <c r="P39" s="842"/>
      <c r="Q39" s="842"/>
      <c r="R39" s="842"/>
      <c r="U39" s="844"/>
      <c r="V39" s="844"/>
      <c r="W39" s="844"/>
      <c r="X39" s="844"/>
      <c r="Y39" s="844"/>
      <c r="Z39" s="844"/>
      <c r="AA39" s="844"/>
      <c r="AB39" s="844"/>
      <c r="AC39" s="844"/>
      <c r="AD39" s="844"/>
      <c r="AE39" s="844"/>
      <c r="AF39" s="844"/>
      <c r="AG39" s="844"/>
      <c r="AH39" s="844"/>
      <c r="AI39" s="844"/>
      <c r="AJ39" s="844"/>
      <c r="AK39" s="844"/>
      <c r="AL39" s="844"/>
      <c r="AM39" s="844"/>
      <c r="AN39" s="844"/>
      <c r="AO39" s="844"/>
      <c r="AP39" s="844"/>
      <c r="AQ39" s="844"/>
    </row>
    <row r="40" spans="2:43" ht="16.95" customHeight="1">
      <c r="B40" s="842"/>
      <c r="C40" s="842"/>
      <c r="D40" s="842"/>
      <c r="E40" s="842"/>
      <c r="F40" s="842"/>
      <c r="G40" s="842"/>
      <c r="H40" s="842"/>
      <c r="I40" s="842"/>
      <c r="J40" s="842"/>
      <c r="K40" s="842"/>
      <c r="L40" s="842"/>
      <c r="M40" s="842"/>
      <c r="N40" s="842"/>
      <c r="O40" s="842"/>
      <c r="P40" s="842"/>
      <c r="Q40" s="842"/>
      <c r="R40" s="842"/>
      <c r="U40" s="844"/>
      <c r="V40" s="844"/>
      <c r="W40" s="844"/>
      <c r="X40" s="844"/>
      <c r="Y40" s="844"/>
      <c r="Z40" s="844"/>
      <c r="AA40" s="844"/>
      <c r="AB40" s="844"/>
      <c r="AC40" s="844"/>
      <c r="AD40" s="844"/>
      <c r="AE40" s="844"/>
      <c r="AF40" s="844"/>
      <c r="AG40" s="844"/>
      <c r="AH40" s="844"/>
      <c r="AI40" s="844"/>
      <c r="AJ40" s="844"/>
      <c r="AK40" s="844"/>
      <c r="AL40" s="844"/>
      <c r="AM40" s="844"/>
      <c r="AN40" s="844"/>
      <c r="AO40" s="844"/>
      <c r="AP40" s="844"/>
      <c r="AQ40" s="844"/>
    </row>
    <row r="41" spans="2:43" ht="16.95" customHeight="1">
      <c r="B41" s="842"/>
      <c r="C41" s="842"/>
      <c r="D41" s="842"/>
      <c r="E41" s="842"/>
      <c r="F41" s="842"/>
      <c r="G41" s="842"/>
      <c r="H41" s="842"/>
      <c r="I41" s="842"/>
      <c r="J41" s="842"/>
      <c r="K41" s="842"/>
      <c r="L41" s="842"/>
      <c r="M41" s="842"/>
      <c r="N41" s="842"/>
      <c r="O41" s="842"/>
      <c r="P41" s="842"/>
      <c r="Q41" s="842"/>
      <c r="R41" s="842"/>
      <c r="U41" s="844"/>
      <c r="V41" s="844"/>
      <c r="W41" s="844"/>
      <c r="X41" s="844"/>
      <c r="Y41" s="844"/>
      <c r="Z41" s="844"/>
      <c r="AA41" s="844"/>
      <c r="AB41" s="844"/>
      <c r="AC41" s="844"/>
      <c r="AD41" s="844"/>
      <c r="AE41" s="844"/>
      <c r="AF41" s="844"/>
      <c r="AG41" s="844"/>
      <c r="AH41" s="844"/>
      <c r="AI41" s="844"/>
      <c r="AJ41" s="844"/>
      <c r="AK41" s="844"/>
      <c r="AL41" s="844"/>
      <c r="AM41" s="844"/>
      <c r="AN41" s="844"/>
      <c r="AO41" s="844"/>
      <c r="AP41" s="844"/>
      <c r="AQ41" s="844"/>
    </row>
    <row r="42" spans="2:43" ht="16.95" customHeight="1">
      <c r="B42" s="842"/>
      <c r="C42" s="842"/>
      <c r="D42" s="842"/>
      <c r="E42" s="842"/>
      <c r="F42" s="842"/>
      <c r="G42" s="842"/>
      <c r="H42" s="842"/>
      <c r="I42" s="842"/>
      <c r="J42" s="842"/>
      <c r="K42" s="842"/>
      <c r="L42" s="842"/>
      <c r="M42" s="842"/>
      <c r="N42" s="842"/>
      <c r="O42" s="842"/>
      <c r="P42" s="842"/>
      <c r="Q42" s="842"/>
      <c r="R42" s="842"/>
      <c r="U42" s="844"/>
      <c r="V42" s="844"/>
      <c r="W42" s="844"/>
      <c r="X42" s="844"/>
      <c r="Y42" s="844"/>
      <c r="Z42" s="844"/>
      <c r="AA42" s="844"/>
      <c r="AB42" s="844"/>
      <c r="AC42" s="844"/>
      <c r="AD42" s="844"/>
      <c r="AE42" s="844"/>
      <c r="AF42" s="844"/>
      <c r="AG42" s="844"/>
      <c r="AH42" s="844"/>
      <c r="AI42" s="844"/>
      <c r="AJ42" s="844"/>
      <c r="AK42" s="844"/>
      <c r="AL42" s="844"/>
      <c r="AM42" s="844"/>
      <c r="AN42" s="844"/>
      <c r="AO42" s="844"/>
      <c r="AP42" s="844"/>
      <c r="AQ42" s="844"/>
    </row>
    <row r="43" spans="2:43" ht="16.95" customHeight="1">
      <c r="B43" s="842"/>
      <c r="C43" s="842"/>
      <c r="D43" s="842"/>
      <c r="E43" s="842"/>
      <c r="F43" s="842"/>
      <c r="G43" s="842"/>
      <c r="H43" s="842"/>
      <c r="I43" s="842"/>
      <c r="J43" s="842"/>
      <c r="K43" s="842"/>
      <c r="L43" s="842"/>
      <c r="M43" s="842"/>
      <c r="N43" s="842"/>
      <c r="O43" s="842"/>
      <c r="P43" s="842"/>
      <c r="Q43" s="842"/>
      <c r="R43" s="842"/>
      <c r="U43" s="844"/>
      <c r="V43" s="844"/>
      <c r="W43" s="844"/>
      <c r="X43" s="844"/>
      <c r="Y43" s="844"/>
      <c r="Z43" s="844"/>
      <c r="AA43" s="844"/>
      <c r="AB43" s="844"/>
      <c r="AC43" s="844"/>
      <c r="AD43" s="844"/>
      <c r="AE43" s="844"/>
      <c r="AF43" s="844"/>
      <c r="AG43" s="844"/>
      <c r="AH43" s="844"/>
      <c r="AI43" s="844"/>
      <c r="AJ43" s="844"/>
      <c r="AK43" s="844"/>
      <c r="AL43" s="844"/>
      <c r="AM43" s="844"/>
      <c r="AN43" s="844"/>
      <c r="AO43" s="844"/>
      <c r="AP43" s="844"/>
      <c r="AQ43" s="844"/>
    </row>
    <row r="44" spans="2:43" ht="16.95" customHeight="1">
      <c r="B44" s="842"/>
      <c r="C44" s="842"/>
      <c r="D44" s="842"/>
      <c r="E44" s="842"/>
      <c r="F44" s="842"/>
      <c r="G44" s="842"/>
      <c r="H44" s="842"/>
      <c r="I44" s="842"/>
      <c r="J44" s="842"/>
      <c r="K44" s="842"/>
      <c r="L44" s="842"/>
      <c r="M44" s="842"/>
      <c r="N44" s="842"/>
      <c r="O44" s="842"/>
      <c r="P44" s="842"/>
      <c r="Q44" s="842"/>
      <c r="R44" s="842"/>
      <c r="U44" s="844"/>
      <c r="V44" s="844"/>
      <c r="W44" s="844"/>
      <c r="X44" s="844"/>
      <c r="Y44" s="844"/>
      <c r="Z44" s="844"/>
      <c r="AA44" s="844"/>
      <c r="AB44" s="844"/>
      <c r="AC44" s="844"/>
      <c r="AD44" s="844"/>
      <c r="AE44" s="844"/>
      <c r="AF44" s="844"/>
      <c r="AG44" s="844"/>
      <c r="AH44" s="844"/>
      <c r="AI44" s="844"/>
      <c r="AJ44" s="844"/>
      <c r="AK44" s="844"/>
      <c r="AL44" s="844"/>
      <c r="AM44" s="844"/>
      <c r="AN44" s="844"/>
      <c r="AO44" s="844"/>
      <c r="AP44" s="844"/>
      <c r="AQ44" s="844"/>
    </row>
    <row r="45" spans="2:43" ht="16.95" customHeight="1">
      <c r="B45" s="842"/>
      <c r="C45" s="842"/>
      <c r="D45" s="842"/>
      <c r="E45" s="842"/>
      <c r="F45" s="842"/>
      <c r="G45" s="842"/>
      <c r="H45" s="842"/>
      <c r="I45" s="842"/>
      <c r="J45" s="842"/>
      <c r="K45" s="842"/>
      <c r="L45" s="842"/>
      <c r="M45" s="842"/>
      <c r="N45" s="842"/>
      <c r="O45" s="842"/>
      <c r="P45" s="842"/>
      <c r="Q45" s="842"/>
      <c r="R45" s="842"/>
      <c r="U45" s="844"/>
      <c r="V45" s="844"/>
      <c r="W45" s="844"/>
      <c r="X45" s="844"/>
      <c r="Y45" s="844"/>
      <c r="Z45" s="844"/>
      <c r="AA45" s="844"/>
      <c r="AB45" s="844"/>
      <c r="AC45" s="844"/>
      <c r="AD45" s="844"/>
      <c r="AE45" s="844"/>
      <c r="AF45" s="844"/>
      <c r="AG45" s="844"/>
      <c r="AH45" s="844"/>
      <c r="AI45" s="844"/>
      <c r="AJ45" s="844"/>
      <c r="AK45" s="844"/>
      <c r="AL45" s="844"/>
      <c r="AM45" s="844"/>
      <c r="AN45" s="844"/>
      <c r="AO45" s="844"/>
      <c r="AP45" s="844"/>
      <c r="AQ45" s="844"/>
    </row>
    <row r="46" spans="2:43" ht="16.95" customHeight="1">
      <c r="B46" s="842"/>
      <c r="C46" s="842"/>
      <c r="D46" s="842"/>
      <c r="E46" s="842"/>
      <c r="F46" s="842"/>
      <c r="G46" s="842"/>
      <c r="H46" s="842"/>
      <c r="I46" s="842"/>
      <c r="J46" s="842"/>
      <c r="K46" s="842"/>
      <c r="L46" s="842"/>
      <c r="M46" s="842"/>
      <c r="N46" s="842"/>
      <c r="O46" s="842"/>
      <c r="P46" s="842"/>
      <c r="Q46" s="842"/>
      <c r="R46" s="842"/>
      <c r="U46" s="844"/>
      <c r="V46" s="844"/>
      <c r="W46" s="844"/>
      <c r="X46" s="844"/>
      <c r="Y46" s="844"/>
      <c r="Z46" s="844"/>
      <c r="AA46" s="844"/>
      <c r="AB46" s="844"/>
      <c r="AC46" s="844"/>
      <c r="AD46" s="844"/>
      <c r="AE46" s="844"/>
      <c r="AF46" s="844"/>
      <c r="AG46" s="844"/>
      <c r="AH46" s="844"/>
      <c r="AI46" s="844"/>
      <c r="AJ46" s="844"/>
      <c r="AK46" s="844"/>
      <c r="AL46" s="844"/>
      <c r="AM46" s="844"/>
      <c r="AN46" s="844"/>
      <c r="AO46" s="844"/>
      <c r="AP46" s="844"/>
      <c r="AQ46" s="844"/>
    </row>
    <row r="47" spans="2:43" ht="16.95" customHeight="1">
      <c r="B47" s="842"/>
      <c r="C47" s="842"/>
      <c r="D47" s="842"/>
      <c r="E47" s="842"/>
      <c r="F47" s="842"/>
      <c r="G47" s="842"/>
      <c r="H47" s="842"/>
      <c r="I47" s="842"/>
      <c r="J47" s="842"/>
      <c r="K47" s="842"/>
      <c r="L47" s="842"/>
      <c r="M47" s="842"/>
      <c r="N47" s="842"/>
      <c r="O47" s="842"/>
      <c r="P47" s="842"/>
      <c r="Q47" s="842"/>
      <c r="R47" s="842"/>
      <c r="U47" s="844"/>
      <c r="V47" s="844"/>
      <c r="W47" s="844"/>
      <c r="X47" s="844"/>
      <c r="Y47" s="844"/>
      <c r="Z47" s="844"/>
      <c r="AA47" s="844"/>
      <c r="AB47" s="844"/>
      <c r="AC47" s="844"/>
      <c r="AD47" s="844"/>
      <c r="AE47" s="844"/>
      <c r="AF47" s="844"/>
      <c r="AG47" s="844"/>
      <c r="AH47" s="844"/>
      <c r="AI47" s="844"/>
      <c r="AJ47" s="844"/>
      <c r="AK47" s="844"/>
      <c r="AL47" s="844"/>
      <c r="AM47" s="844"/>
      <c r="AN47" s="844"/>
      <c r="AO47" s="844"/>
      <c r="AP47" s="844"/>
      <c r="AQ47" s="844"/>
    </row>
    <row r="48" spans="2:43" ht="16.95" customHeight="1">
      <c r="B48" s="842"/>
      <c r="C48" s="842"/>
      <c r="D48" s="842"/>
      <c r="E48" s="842"/>
      <c r="F48" s="842"/>
      <c r="G48" s="842"/>
      <c r="H48" s="842"/>
      <c r="I48" s="842"/>
      <c r="J48" s="842"/>
      <c r="K48" s="842"/>
      <c r="L48" s="842"/>
      <c r="M48" s="842"/>
      <c r="N48" s="842"/>
      <c r="O48" s="842"/>
      <c r="P48" s="842"/>
      <c r="Q48" s="842"/>
      <c r="R48" s="842"/>
    </row>
    <row r="49" ht="16.95" customHeight="1"/>
    <row r="50" ht="16.95" customHeight="1"/>
    <row r="51" ht="16.95" customHeight="1"/>
    <row r="52" ht="16.95" customHeight="1"/>
  </sheetData>
  <sheetProtection selectLockedCells="1"/>
  <mergeCells count="159">
    <mergeCell ref="A1:AR1"/>
    <mergeCell ref="AT1:CJ1"/>
    <mergeCell ref="AH2:AI2"/>
    <mergeCell ref="AK2:AL2"/>
    <mergeCell ref="AM2:AN2"/>
    <mergeCell ref="AP2:AQ2"/>
    <mergeCell ref="AF3:AG3"/>
    <mergeCell ref="AH3:AI3"/>
    <mergeCell ref="AK3:AL3"/>
    <mergeCell ref="AM3:AN3"/>
    <mergeCell ref="AP3:AQ3"/>
    <mergeCell ref="AU3:AW3"/>
    <mergeCell ref="B3:D3"/>
    <mergeCell ref="E3:R3"/>
    <mergeCell ref="U3:V3"/>
    <mergeCell ref="W3:Y3"/>
    <mergeCell ref="Z3:AA3"/>
    <mergeCell ref="AB3:AC3"/>
    <mergeCell ref="BW3:BX3"/>
    <mergeCell ref="BY3:CA3"/>
    <mergeCell ref="CB3:CC3"/>
    <mergeCell ref="CD3:CE3"/>
    <mergeCell ref="CF3:CG4"/>
    <mergeCell ref="CH3:CJ4"/>
    <mergeCell ref="BY4:CE4"/>
    <mergeCell ref="AX3:BB3"/>
    <mergeCell ref="BD3:BF3"/>
    <mergeCell ref="BG3:BK3"/>
    <mergeCell ref="BM3:BN3"/>
    <mergeCell ref="BO3:BQ3"/>
    <mergeCell ref="BS3:BU3"/>
    <mergeCell ref="BR4:BS4"/>
    <mergeCell ref="BT4:BU4"/>
    <mergeCell ref="BW4:BX4"/>
    <mergeCell ref="BG4:BK4"/>
    <mergeCell ref="BM4:BN4"/>
    <mergeCell ref="BO4:BP4"/>
    <mergeCell ref="AK4:AL4"/>
    <mergeCell ref="AM4:AN4"/>
    <mergeCell ref="AP4:AQ4"/>
    <mergeCell ref="AU4:AW4"/>
    <mergeCell ref="AX4:BB4"/>
    <mergeCell ref="BD4:BF4"/>
    <mergeCell ref="B5:D5"/>
    <mergeCell ref="E5:R5"/>
    <mergeCell ref="AF5:AG5"/>
    <mergeCell ref="AH5:AI5"/>
    <mergeCell ref="AK5:AL5"/>
    <mergeCell ref="AM5:AN5"/>
    <mergeCell ref="B4:D4"/>
    <mergeCell ref="E4:R4"/>
    <mergeCell ref="U4:V4"/>
    <mergeCell ref="W4:AC4"/>
    <mergeCell ref="AF4:AG4"/>
    <mergeCell ref="AH4:AI4"/>
    <mergeCell ref="BQ5:BU5"/>
    <mergeCell ref="U6:V6"/>
    <mergeCell ref="W6:Y6"/>
    <mergeCell ref="AA6:AC6"/>
    <mergeCell ref="AF6:AG6"/>
    <mergeCell ref="AH6:AI6"/>
    <mergeCell ref="AK6:AL6"/>
    <mergeCell ref="AM6:AN6"/>
    <mergeCell ref="AP6:AQ6"/>
    <mergeCell ref="AX6:AY6"/>
    <mergeCell ref="AP5:AQ5"/>
    <mergeCell ref="AU5:AW5"/>
    <mergeCell ref="AX5:BB5"/>
    <mergeCell ref="BD5:BF5"/>
    <mergeCell ref="BG5:BK5"/>
    <mergeCell ref="BM5:BP5"/>
    <mergeCell ref="BA6:BB6"/>
    <mergeCell ref="BC6:BD6"/>
    <mergeCell ref="CA6:CI6"/>
    <mergeCell ref="B7:D7"/>
    <mergeCell ref="E7:I7"/>
    <mergeCell ref="K7:M7"/>
    <mergeCell ref="N7:R7"/>
    <mergeCell ref="U7:V7"/>
    <mergeCell ref="W7:X7"/>
    <mergeCell ref="Z7:AA7"/>
    <mergeCell ref="AV7:AW7"/>
    <mergeCell ref="AX7:AY7"/>
    <mergeCell ref="BA7:BB7"/>
    <mergeCell ref="BC7:BD7"/>
    <mergeCell ref="CA7:CI12"/>
    <mergeCell ref="B8:D8"/>
    <mergeCell ref="E8:I8"/>
    <mergeCell ref="K8:M8"/>
    <mergeCell ref="N8:R8"/>
    <mergeCell ref="U8:X8"/>
    <mergeCell ref="AB7:AC7"/>
    <mergeCell ref="AF7:AG7"/>
    <mergeCell ref="AH7:AI7"/>
    <mergeCell ref="AK7:AL7"/>
    <mergeCell ref="AM7:AN7"/>
    <mergeCell ref="AP7:AQ7"/>
    <mergeCell ref="BC8:BD8"/>
    <mergeCell ref="BF8:BG8"/>
    <mergeCell ref="BH8:BY8"/>
    <mergeCell ref="Y8:AC8"/>
    <mergeCell ref="AF8:AG8"/>
    <mergeCell ref="AH8:AI8"/>
    <mergeCell ref="AK8:AL8"/>
    <mergeCell ref="AM8:AN8"/>
    <mergeCell ref="AP8:AQ8"/>
    <mergeCell ref="B9:D9"/>
    <mergeCell ref="E9:I9"/>
    <mergeCell ref="K9:M9"/>
    <mergeCell ref="N9:R9"/>
    <mergeCell ref="AV9:AW9"/>
    <mergeCell ref="AX9:AY9"/>
    <mergeCell ref="AV8:AW8"/>
    <mergeCell ref="AX8:AY8"/>
    <mergeCell ref="BA8:BB8"/>
    <mergeCell ref="BA9:BB9"/>
    <mergeCell ref="BC9:BD9"/>
    <mergeCell ref="BF9:BG9"/>
    <mergeCell ref="BH9:BY9"/>
    <mergeCell ref="U10:V10"/>
    <mergeCell ref="W10:AQ10"/>
    <mergeCell ref="AV10:AW10"/>
    <mergeCell ref="AX10:AY10"/>
    <mergeCell ref="BA10:BB10"/>
    <mergeCell ref="BC10:BD10"/>
    <mergeCell ref="BF10:BG10"/>
    <mergeCell ref="BH10:BY10"/>
    <mergeCell ref="B11:R11"/>
    <mergeCell ref="U11:V11"/>
    <mergeCell ref="W11:AQ11"/>
    <mergeCell ref="AV11:AW11"/>
    <mergeCell ref="AX11:AY11"/>
    <mergeCell ref="BA11:BB11"/>
    <mergeCell ref="BC11:BD11"/>
    <mergeCell ref="BF11:BG11"/>
    <mergeCell ref="BH11:BY11"/>
    <mergeCell ref="U12:V12"/>
    <mergeCell ref="W12:AQ12"/>
    <mergeCell ref="AV12:AW12"/>
    <mergeCell ref="AX12:AY12"/>
    <mergeCell ref="BA12:BB12"/>
    <mergeCell ref="BC12:BD12"/>
    <mergeCell ref="BF12:BG12"/>
    <mergeCell ref="BH12:BY12"/>
    <mergeCell ref="B12:R36"/>
    <mergeCell ref="B37:R37"/>
    <mergeCell ref="B38:R48"/>
    <mergeCell ref="U31:AQ31"/>
    <mergeCell ref="U32:AQ47"/>
    <mergeCell ref="U13:V13"/>
    <mergeCell ref="W13:AQ13"/>
    <mergeCell ref="AU13:BN13"/>
    <mergeCell ref="BP13:CI13"/>
    <mergeCell ref="U14:V14"/>
    <mergeCell ref="W14:AQ14"/>
    <mergeCell ref="AU14:BN29"/>
    <mergeCell ref="BP14:CI29"/>
    <mergeCell ref="U15:AQ15"/>
    <mergeCell ref="U16:AQ30"/>
  </mergeCells>
  <phoneticPr fontId="49" type="noConversion"/>
  <dataValidations count="4">
    <dataValidation type="list" allowBlank="1" showInputMessage="1" showErrorMessage="1" sqref="AE3:AE8 AU7:AU12" xr:uid="{5BBB506A-4CFD-4D36-B063-080F0EB783D7}">
      <formula1>"X,O"</formula1>
    </dataValidation>
    <dataValidation type="list" allowBlank="1" showInputMessage="1" sqref="E7:I7" xr:uid="{24B0CBFA-B667-44CD-A059-61F0B5FF85CC}">
      <formula1>"无,野蛮人,吟游诗人,牧师,德鲁伊,战士,武僧,圣武士,游侠,游荡者,术士,魔契师,法师,施法者,武者,专家"</formula1>
    </dataValidation>
    <dataValidation type="list" allowBlank="1" showInputMessage="1" sqref="BG5:BK5 N9:R9" xr:uid="{75E9FBD9-4653-4A20-A863-85162760AD9F}">
      <formula1>"异怪,野兽,天界,构装,龙类,元素,精类,邪魔,巨人,类人,怪兽,泥怪,植物,不死"</formula1>
    </dataValidation>
    <dataValidation type="list" allowBlank="1" showInputMessage="1" sqref="E9:I9 AX5:BB5" xr:uid="{469CB3C3-AAD3-475C-B903-80B24FB9475B}">
      <formula1>"守序善良,中立善良,混乱善良,守序中立,绝对中立,混乱中立,守序邪恶,中立邪恶,混乱邪恶,无阵营"</formula1>
    </dataValidation>
  </dataValidations>
  <pageMargins left="0.75" right="0.75" top="1" bottom="1" header="0.51180555555555596" footer="0.51180555555555596"/>
  <extLst>
    <ext xmlns:x14="http://schemas.microsoft.com/office/spreadsheetml/2009/9/main" uri="{CCE6A557-97BC-4b89-ADB6-D9C93CAAB3DF}">
      <x14:dataValidations xmlns:xm="http://schemas.microsoft.com/office/excel/2006/main" count="1">
        <x14:dataValidation type="list" allowBlank="1" showInputMessage="1" xr:uid="{8E62796F-3F84-4CB2-AD3A-0F13CD07FD17}">
          <x14:formula1>
            <xm:f>数据表!$CI$15:$CI$20</xm:f>
          </x14:formula1>
          <xm:sqref>N8:R8 BG4:BK4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3C59-BDBB-40D7-BE52-0253013C72B5}">
  <sheetPr codeName="Sheet14">
    <tabColor theme="5" tint="-0.499984740745262"/>
  </sheetPr>
  <dimension ref="A1:CO58"/>
  <sheetViews>
    <sheetView zoomScale="85" zoomScaleNormal="85" workbookViewId="0">
      <selection activeCell="AE97" sqref="AE97:AI97"/>
    </sheetView>
  </sheetViews>
  <sheetFormatPr defaultColWidth="2.44140625" defaultRowHeight="17.100000000000001" customHeight="1"/>
  <cols>
    <col min="1" max="1" width="2.44140625" style="331"/>
    <col min="2" max="2" width="3.88671875" style="331" customWidth="1"/>
    <col min="3" max="24" width="2.44140625" style="331"/>
    <col min="25" max="25" width="3.109375" style="331" customWidth="1"/>
    <col min="26" max="47" width="2.44140625" style="331"/>
    <col min="48" max="48" width="3.88671875" style="331" customWidth="1"/>
    <col min="49" max="70" width="2.44140625" style="331"/>
    <col min="71" max="71" width="3.109375" style="331" customWidth="1"/>
    <col min="72" max="16384" width="2.44140625" style="331"/>
  </cols>
  <sheetData>
    <row r="1" spans="1:93" ht="17.100000000000001" customHeight="1">
      <c r="A1" s="916" t="s">
        <v>5978</v>
      </c>
      <c r="B1" s="916"/>
      <c r="C1" s="916"/>
      <c r="D1" s="916"/>
      <c r="E1" s="916"/>
      <c r="F1" s="916"/>
      <c r="G1" s="916"/>
      <c r="H1" s="916"/>
      <c r="I1" s="916"/>
      <c r="J1" s="916"/>
      <c r="K1" s="916"/>
      <c r="L1" s="916"/>
      <c r="M1" s="916"/>
      <c r="N1" s="916"/>
      <c r="O1" s="916"/>
      <c r="P1" s="916"/>
      <c r="Q1" s="916"/>
      <c r="R1" s="916"/>
      <c r="S1" s="916"/>
      <c r="T1" s="916"/>
      <c r="U1" s="916"/>
      <c r="V1" s="916"/>
      <c r="W1" s="916"/>
      <c r="X1" s="916"/>
      <c r="Y1" s="916"/>
      <c r="Z1" s="916"/>
      <c r="AA1" s="916"/>
      <c r="AB1" s="916"/>
      <c r="AC1" s="916"/>
      <c r="AD1" s="916"/>
      <c r="AE1" s="916"/>
      <c r="AF1" s="916"/>
      <c r="AG1" s="916"/>
      <c r="AH1" s="916"/>
      <c r="AI1" s="916"/>
      <c r="AJ1" s="916"/>
      <c r="AK1" s="916"/>
      <c r="AL1" s="916"/>
      <c r="AM1" s="916"/>
      <c r="AN1" s="916"/>
      <c r="AO1" s="916"/>
      <c r="AP1" s="916"/>
      <c r="AQ1" s="916"/>
      <c r="AR1" s="916"/>
      <c r="AS1" s="916"/>
      <c r="AT1" s="916"/>
      <c r="AU1" s="916"/>
      <c r="AV1" s="916"/>
      <c r="AW1" s="916"/>
      <c r="AX1" s="916"/>
      <c r="AY1" s="916"/>
      <c r="AZ1" s="916"/>
      <c r="BA1" s="916"/>
      <c r="BB1" s="916"/>
      <c r="BC1" s="916"/>
      <c r="BD1" s="916"/>
      <c r="BE1" s="916"/>
      <c r="BF1" s="916"/>
      <c r="BG1" s="916"/>
      <c r="BH1" s="916"/>
      <c r="BI1" s="916"/>
      <c r="BJ1" s="916"/>
      <c r="BK1" s="916"/>
      <c r="BL1" s="916"/>
      <c r="BM1" s="916"/>
      <c r="BN1" s="916"/>
      <c r="BO1" s="916"/>
      <c r="BP1" s="916"/>
      <c r="BQ1" s="916"/>
      <c r="BR1" s="916"/>
      <c r="BS1" s="916"/>
      <c r="BT1" s="916"/>
      <c r="BU1" s="916"/>
      <c r="BV1" s="916"/>
      <c r="BW1" s="916"/>
      <c r="BX1" s="916"/>
      <c r="BY1" s="916"/>
      <c r="BZ1" s="916"/>
      <c r="CA1" s="916"/>
      <c r="CB1" s="916"/>
      <c r="CC1" s="916"/>
      <c r="CD1" s="916"/>
      <c r="CE1" s="916"/>
      <c r="CF1" s="916"/>
      <c r="CG1" s="916"/>
      <c r="CH1" s="916"/>
      <c r="CI1" s="916"/>
      <c r="CJ1" s="916"/>
      <c r="CK1" s="916"/>
      <c r="CL1" s="916"/>
      <c r="CM1" s="916"/>
      <c r="CN1" s="916"/>
      <c r="CO1" s="916"/>
    </row>
    <row r="2" spans="1:93" ht="17.100000000000001" customHeight="1">
      <c r="B2" s="332"/>
      <c r="C2" s="907" t="s">
        <v>5979</v>
      </c>
      <c r="D2" s="907"/>
      <c r="E2" s="907"/>
      <c r="F2" s="907"/>
      <c r="G2" s="907"/>
      <c r="H2" s="907"/>
      <c r="I2" s="907" t="s">
        <v>5980</v>
      </c>
      <c r="J2" s="907"/>
      <c r="K2" s="907"/>
      <c r="L2" s="907"/>
      <c r="M2" s="907"/>
      <c r="N2" s="907"/>
      <c r="O2" s="907" t="s">
        <v>5981</v>
      </c>
      <c r="P2" s="907"/>
      <c r="Q2" s="907"/>
      <c r="R2" s="907"/>
      <c r="S2" s="907"/>
      <c r="T2" s="907"/>
      <c r="U2" s="907"/>
      <c r="V2" s="907"/>
      <c r="W2" s="907"/>
      <c r="X2" s="907"/>
      <c r="Y2" s="907"/>
      <c r="Z2" s="907"/>
      <c r="AA2" s="907"/>
      <c r="AB2" s="907"/>
      <c r="AC2" s="907"/>
      <c r="AD2" s="907"/>
      <c r="AE2" s="907"/>
      <c r="AF2" s="907"/>
      <c r="AG2" s="907"/>
      <c r="AH2" s="907"/>
      <c r="AI2" s="907"/>
      <c r="AJ2" s="907"/>
      <c r="AK2" s="907"/>
      <c r="AL2" s="907"/>
      <c r="AM2" s="907"/>
      <c r="AN2" s="907"/>
      <c r="AO2" s="907"/>
      <c r="AP2" s="907"/>
      <c r="AQ2" s="907"/>
      <c r="AR2" s="907"/>
      <c r="AS2" s="907"/>
      <c r="AT2" s="907"/>
    </row>
    <row r="3" spans="1:93" ht="17.100000000000001" customHeight="1">
      <c r="B3" s="917">
        <v>1</v>
      </c>
      <c r="C3" s="854" t="s">
        <v>5982</v>
      </c>
      <c r="D3" s="854"/>
      <c r="E3" s="854"/>
      <c r="F3" s="854"/>
      <c r="G3" s="854"/>
      <c r="H3" s="854"/>
      <c r="I3" s="854"/>
      <c r="J3" s="854"/>
      <c r="K3" s="854"/>
      <c r="L3" s="854"/>
      <c r="M3" s="854"/>
      <c r="N3" s="85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M3" s="914"/>
      <c r="AN3" s="914"/>
      <c r="AO3" s="914"/>
      <c r="AP3" s="914"/>
      <c r="AQ3" s="914"/>
      <c r="AR3" s="914"/>
      <c r="AS3" s="914"/>
      <c r="AT3" s="914"/>
      <c r="AV3" s="917">
        <v>2</v>
      </c>
      <c r="AW3" s="854" t="s">
        <v>5983</v>
      </c>
      <c r="AX3" s="854"/>
      <c r="AY3" s="854"/>
      <c r="AZ3" s="854"/>
      <c r="BA3" s="854"/>
      <c r="BB3" s="854"/>
      <c r="BC3" s="854"/>
      <c r="BD3" s="854"/>
      <c r="BE3" s="854"/>
      <c r="BF3" s="854"/>
      <c r="BG3" s="854"/>
      <c r="BH3" s="854"/>
      <c r="BI3" s="914"/>
      <c r="BJ3" s="914"/>
      <c r="BK3" s="914"/>
      <c r="BL3" s="914"/>
      <c r="BM3" s="914"/>
      <c r="BN3" s="914"/>
      <c r="BO3" s="914"/>
      <c r="BP3" s="914"/>
      <c r="BQ3" s="914"/>
      <c r="BR3" s="914"/>
      <c r="BS3" s="914"/>
      <c r="BT3" s="914"/>
      <c r="BU3" s="914"/>
      <c r="BV3" s="914"/>
      <c r="BW3" s="914"/>
      <c r="BX3" s="914"/>
      <c r="BY3" s="914"/>
      <c r="BZ3" s="914"/>
      <c r="CA3" s="914"/>
      <c r="CB3" s="914"/>
      <c r="CC3" s="914"/>
      <c r="CD3" s="914"/>
      <c r="CE3" s="914"/>
      <c r="CF3" s="914"/>
      <c r="CG3" s="914"/>
      <c r="CH3" s="914"/>
      <c r="CI3" s="914"/>
      <c r="CJ3" s="914"/>
      <c r="CK3" s="914"/>
      <c r="CL3" s="914"/>
      <c r="CM3" s="914"/>
      <c r="CN3" s="914"/>
    </row>
    <row r="4" spans="1:93" ht="17.100000000000001" customHeight="1">
      <c r="B4" s="917"/>
      <c r="C4" s="854"/>
      <c r="D4" s="854"/>
      <c r="E4" s="854"/>
      <c r="F4" s="854"/>
      <c r="G4" s="854"/>
      <c r="H4" s="854"/>
      <c r="I4" s="854"/>
      <c r="J4" s="854"/>
      <c r="K4" s="854"/>
      <c r="L4" s="854"/>
      <c r="M4" s="854"/>
      <c r="N4" s="85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V4" s="917"/>
      <c r="AW4" s="854"/>
      <c r="AX4" s="854"/>
      <c r="AY4" s="854"/>
      <c r="AZ4" s="854"/>
      <c r="BA4" s="854"/>
      <c r="BB4" s="854"/>
      <c r="BC4" s="854"/>
      <c r="BD4" s="854"/>
      <c r="BE4" s="854"/>
      <c r="BF4" s="854"/>
      <c r="BG4" s="854"/>
      <c r="BH4" s="854"/>
      <c r="BI4" s="914"/>
      <c r="BJ4" s="914"/>
      <c r="BK4" s="914"/>
      <c r="BL4" s="914"/>
      <c r="BM4" s="914"/>
      <c r="BN4" s="914"/>
      <c r="BO4" s="914"/>
      <c r="BP4" s="914"/>
      <c r="BQ4" s="914"/>
      <c r="BR4" s="914"/>
      <c r="BS4" s="914"/>
      <c r="BT4" s="914"/>
      <c r="BU4" s="914"/>
      <c r="BV4" s="914"/>
      <c r="BW4" s="914"/>
      <c r="BX4" s="914"/>
      <c r="BY4" s="914"/>
      <c r="BZ4" s="914"/>
      <c r="CA4" s="914"/>
      <c r="CB4" s="914"/>
      <c r="CC4" s="914"/>
      <c r="CD4" s="914"/>
      <c r="CE4" s="914"/>
      <c r="CF4" s="914"/>
      <c r="CG4" s="914"/>
      <c r="CH4" s="914"/>
      <c r="CI4" s="914"/>
      <c r="CJ4" s="914"/>
      <c r="CK4" s="914"/>
      <c r="CL4" s="914"/>
      <c r="CM4" s="914"/>
      <c r="CN4" s="914"/>
    </row>
    <row r="5" spans="1:93" ht="17.100000000000001" customHeight="1">
      <c r="B5" s="917"/>
      <c r="C5" s="854"/>
      <c r="D5" s="854"/>
      <c r="E5" s="854"/>
      <c r="F5" s="854"/>
      <c r="G5" s="854"/>
      <c r="H5" s="854"/>
      <c r="I5" s="854"/>
      <c r="J5" s="854"/>
      <c r="K5" s="854"/>
      <c r="L5" s="854"/>
      <c r="M5" s="854"/>
      <c r="N5" s="854"/>
      <c r="O5" s="914"/>
      <c r="P5" s="914"/>
      <c r="Q5" s="914"/>
      <c r="R5" s="914"/>
      <c r="S5" s="914"/>
      <c r="T5" s="914"/>
      <c r="U5" s="914"/>
      <c r="V5" s="914"/>
      <c r="W5" s="914"/>
      <c r="X5" s="914"/>
      <c r="Y5" s="914"/>
      <c r="Z5" s="914"/>
      <c r="AA5" s="914"/>
      <c r="AB5" s="914"/>
      <c r="AC5" s="914"/>
      <c r="AD5" s="914"/>
      <c r="AE5" s="914"/>
      <c r="AF5" s="914"/>
      <c r="AG5" s="914"/>
      <c r="AH5" s="914"/>
      <c r="AI5" s="914"/>
      <c r="AJ5" s="914"/>
      <c r="AK5" s="914"/>
      <c r="AL5" s="914"/>
      <c r="AM5" s="914"/>
      <c r="AN5" s="914"/>
      <c r="AO5" s="914"/>
      <c r="AP5" s="914"/>
      <c r="AQ5" s="914"/>
      <c r="AR5" s="914"/>
      <c r="AS5" s="914"/>
      <c r="AT5" s="914"/>
      <c r="AV5" s="917"/>
      <c r="AW5" s="854"/>
      <c r="AX5" s="854"/>
      <c r="AY5" s="854"/>
      <c r="AZ5" s="854"/>
      <c r="BA5" s="854"/>
      <c r="BB5" s="854"/>
      <c r="BC5" s="854"/>
      <c r="BD5" s="854"/>
      <c r="BE5" s="854"/>
      <c r="BF5" s="854"/>
      <c r="BG5" s="854"/>
      <c r="BH5" s="854"/>
      <c r="BI5" s="914"/>
      <c r="BJ5" s="914"/>
      <c r="BK5" s="914"/>
      <c r="BL5" s="914"/>
      <c r="BM5" s="914"/>
      <c r="BN5" s="914"/>
      <c r="BO5" s="914"/>
      <c r="BP5" s="914"/>
      <c r="BQ5" s="914"/>
      <c r="BR5" s="914"/>
      <c r="BS5" s="914"/>
      <c r="BT5" s="914"/>
      <c r="BU5" s="914"/>
      <c r="BV5" s="914"/>
      <c r="BW5" s="914"/>
      <c r="BX5" s="914"/>
      <c r="BY5" s="914"/>
      <c r="BZ5" s="914"/>
      <c r="CA5" s="914"/>
      <c r="CB5" s="914"/>
      <c r="CC5" s="914"/>
      <c r="CD5" s="914"/>
      <c r="CE5" s="914"/>
      <c r="CF5" s="914"/>
      <c r="CG5" s="914"/>
      <c r="CH5" s="914"/>
      <c r="CI5" s="914"/>
      <c r="CJ5" s="914"/>
      <c r="CK5" s="914"/>
      <c r="CL5" s="914"/>
      <c r="CM5" s="914"/>
      <c r="CN5" s="914"/>
    </row>
    <row r="7" spans="1:93" ht="17.100000000000001" customHeight="1">
      <c r="B7" s="908" t="str">
        <f>IF(C3="","",C3&amp;"的储物箱")</f>
        <v>据点1的储物箱</v>
      </c>
      <c r="C7" s="908"/>
      <c r="D7" s="908"/>
      <c r="E7" s="908"/>
      <c r="F7" s="908"/>
      <c r="G7" s="908"/>
      <c r="H7" s="908"/>
      <c r="I7" s="908"/>
      <c r="J7" s="908"/>
      <c r="K7" s="908"/>
      <c r="L7" s="908"/>
      <c r="M7" s="908"/>
      <c r="N7" s="908"/>
      <c r="O7" s="908"/>
      <c r="P7" s="908"/>
      <c r="Q7" s="908"/>
      <c r="R7" s="908"/>
      <c r="S7" s="908"/>
      <c r="T7" s="908"/>
      <c r="U7" s="908"/>
      <c r="V7" s="908"/>
      <c r="W7" s="908"/>
      <c r="Y7" s="915" t="str">
        <f>IF(C3="","",C3&amp;"的财产状况")</f>
        <v>据点1的财产状况</v>
      </c>
      <c r="Z7" s="915"/>
      <c r="AA7" s="915"/>
      <c r="AB7" s="915"/>
      <c r="AC7" s="915"/>
      <c r="AD7" s="915"/>
      <c r="AE7" s="915"/>
      <c r="AF7" s="915"/>
      <c r="AG7" s="332"/>
      <c r="AH7" s="908" t="str">
        <f>IF(C3="","",C3&amp;"的财产收入")</f>
        <v>据点1的财产收入</v>
      </c>
      <c r="AI7" s="908"/>
      <c r="AJ7" s="908"/>
      <c r="AK7" s="908"/>
      <c r="AL7" s="908"/>
      <c r="AM7" s="908"/>
      <c r="AN7" s="908"/>
      <c r="AO7" s="908"/>
      <c r="AP7" s="908"/>
      <c r="AQ7" s="908"/>
      <c r="AR7" s="908"/>
      <c r="AS7" s="908"/>
      <c r="AT7" s="908"/>
      <c r="AV7" s="908" t="str">
        <f>IF(AW3="","",AW3&amp;"的储物箱")</f>
        <v>据点2的储物箱</v>
      </c>
      <c r="AW7" s="908"/>
      <c r="AX7" s="908"/>
      <c r="AY7" s="908"/>
      <c r="AZ7" s="908"/>
      <c r="BA7" s="908"/>
      <c r="BB7" s="908"/>
      <c r="BC7" s="908"/>
      <c r="BD7" s="908"/>
      <c r="BE7" s="908"/>
      <c r="BF7" s="908"/>
      <c r="BG7" s="908"/>
      <c r="BH7" s="908"/>
      <c r="BI7" s="908"/>
      <c r="BJ7" s="908"/>
      <c r="BK7" s="908"/>
      <c r="BL7" s="908"/>
      <c r="BM7" s="908"/>
      <c r="BN7" s="908"/>
      <c r="BO7" s="908"/>
      <c r="BP7" s="908"/>
      <c r="BQ7" s="908"/>
      <c r="BS7" s="908" t="str">
        <f>IF(AW3="","",AW3&amp;"的财产状况")</f>
        <v>据点2的财产状况</v>
      </c>
      <c r="BT7" s="908"/>
      <c r="BU7" s="908"/>
      <c r="BV7" s="908"/>
      <c r="BW7" s="908"/>
      <c r="BX7" s="908"/>
      <c r="BY7" s="908"/>
      <c r="BZ7" s="908"/>
      <c r="CA7" s="332"/>
      <c r="CB7" s="908" t="str">
        <f>IF(AW3="","",AW3&amp;"的财产收入")</f>
        <v>据点2的财产收入</v>
      </c>
      <c r="CC7" s="908"/>
      <c r="CD7" s="908"/>
      <c r="CE7" s="908"/>
      <c r="CF7" s="908"/>
      <c r="CG7" s="908"/>
      <c r="CH7" s="908"/>
      <c r="CI7" s="908"/>
      <c r="CJ7" s="908"/>
      <c r="CK7" s="908"/>
      <c r="CL7" s="908"/>
      <c r="CM7" s="908"/>
      <c r="CN7" s="908"/>
    </row>
    <row r="8" spans="1:93" ht="17.100000000000001" customHeight="1">
      <c r="B8" s="332"/>
      <c r="C8" s="907" t="s">
        <v>5984</v>
      </c>
      <c r="D8" s="907"/>
      <c r="E8" s="907"/>
      <c r="F8" s="907"/>
      <c r="G8" s="907"/>
      <c r="H8" s="907"/>
      <c r="I8" s="907" t="s">
        <v>5985</v>
      </c>
      <c r="J8" s="907"/>
      <c r="K8" s="907"/>
      <c r="L8" s="907"/>
      <c r="M8" s="907"/>
      <c r="N8" s="907"/>
      <c r="O8" s="907"/>
      <c r="P8" s="907"/>
      <c r="Q8" s="907"/>
      <c r="R8" s="907"/>
      <c r="S8" s="907"/>
      <c r="T8" s="907"/>
      <c r="U8" s="907"/>
      <c r="V8" s="907" t="s">
        <v>1984</v>
      </c>
      <c r="W8" s="907"/>
      <c r="Y8" s="907" t="s">
        <v>5986</v>
      </c>
      <c r="Z8" s="907"/>
      <c r="AA8" s="907" t="s">
        <v>1984</v>
      </c>
      <c r="AB8" s="907"/>
      <c r="AC8" s="907"/>
      <c r="AD8" s="907"/>
      <c r="AE8" s="907"/>
      <c r="AF8" s="907"/>
      <c r="AG8" s="332"/>
      <c r="AH8" s="907" t="s">
        <v>5986</v>
      </c>
      <c r="AI8" s="907"/>
      <c r="AJ8" s="907" t="s">
        <v>5987</v>
      </c>
      <c r="AK8" s="907"/>
      <c r="AL8" s="907"/>
      <c r="AM8" s="907"/>
      <c r="AN8" s="907"/>
      <c r="AO8" s="907"/>
      <c r="AP8" s="907"/>
      <c r="AQ8" s="907"/>
      <c r="AR8" s="907"/>
      <c r="AS8" s="907"/>
      <c r="AT8" s="907"/>
      <c r="AV8" s="332"/>
      <c r="AW8" s="907" t="s">
        <v>5984</v>
      </c>
      <c r="AX8" s="907"/>
      <c r="AY8" s="907"/>
      <c r="AZ8" s="907"/>
      <c r="BA8" s="907"/>
      <c r="BB8" s="907"/>
      <c r="BC8" s="907" t="s">
        <v>5985</v>
      </c>
      <c r="BD8" s="907"/>
      <c r="BE8" s="907"/>
      <c r="BF8" s="907"/>
      <c r="BG8" s="907"/>
      <c r="BH8" s="907"/>
      <c r="BI8" s="907"/>
      <c r="BJ8" s="907"/>
      <c r="BK8" s="907"/>
      <c r="BL8" s="907"/>
      <c r="BM8" s="907"/>
      <c r="BN8" s="907"/>
      <c r="BO8" s="907"/>
      <c r="BP8" s="907" t="s">
        <v>1984</v>
      </c>
      <c r="BQ8" s="907"/>
      <c r="BS8" s="907" t="s">
        <v>5986</v>
      </c>
      <c r="BT8" s="907"/>
      <c r="BU8" s="907" t="s">
        <v>1984</v>
      </c>
      <c r="BV8" s="907"/>
      <c r="BW8" s="907"/>
      <c r="BX8" s="907"/>
      <c r="BY8" s="907"/>
      <c r="BZ8" s="907"/>
      <c r="CA8" s="332"/>
      <c r="CB8" s="907" t="s">
        <v>5986</v>
      </c>
      <c r="CC8" s="907"/>
      <c r="CD8" s="907" t="s">
        <v>5987</v>
      </c>
      <c r="CE8" s="907"/>
      <c r="CF8" s="907"/>
      <c r="CG8" s="907"/>
      <c r="CH8" s="907"/>
      <c r="CI8" s="907"/>
      <c r="CJ8" s="907"/>
      <c r="CK8" s="907"/>
      <c r="CL8" s="907"/>
      <c r="CM8" s="907"/>
      <c r="CN8" s="907"/>
    </row>
    <row r="9" spans="1:93" ht="17.100000000000001" customHeight="1">
      <c r="B9" s="333">
        <v>1</v>
      </c>
      <c r="C9" s="902"/>
      <c r="D9" s="903"/>
      <c r="E9" s="903"/>
      <c r="F9" s="903"/>
      <c r="G9" s="903"/>
      <c r="H9" s="904"/>
      <c r="I9" s="905"/>
      <c r="J9" s="905"/>
      <c r="K9" s="905"/>
      <c r="L9" s="905"/>
      <c r="M9" s="905"/>
      <c r="N9" s="905"/>
      <c r="O9" s="905"/>
      <c r="P9" s="905"/>
      <c r="Q9" s="905"/>
      <c r="R9" s="905"/>
      <c r="S9" s="905"/>
      <c r="T9" s="905"/>
      <c r="U9" s="905"/>
      <c r="V9" s="906"/>
      <c r="W9" s="906"/>
      <c r="Y9" s="913" t="s">
        <v>110</v>
      </c>
      <c r="Z9" s="913"/>
      <c r="AA9" s="906"/>
      <c r="AB9" s="906"/>
      <c r="AC9" s="906"/>
      <c r="AD9" s="906"/>
      <c r="AE9" s="906"/>
      <c r="AF9" s="906"/>
      <c r="AG9" s="332"/>
      <c r="AH9" s="913" t="s">
        <v>110</v>
      </c>
      <c r="AI9" s="913"/>
      <c r="AJ9" s="906"/>
      <c r="AK9" s="906"/>
      <c r="AL9" s="906"/>
      <c r="AM9" s="906"/>
      <c r="AN9" s="906"/>
      <c r="AO9" s="906"/>
      <c r="AP9" s="906"/>
      <c r="AQ9" s="906"/>
      <c r="AR9" s="906"/>
      <c r="AS9" s="906"/>
      <c r="AT9" s="906"/>
      <c r="AV9" s="333">
        <v>1</v>
      </c>
      <c r="AW9" s="902"/>
      <c r="AX9" s="903"/>
      <c r="AY9" s="903"/>
      <c r="AZ9" s="903"/>
      <c r="BA9" s="903"/>
      <c r="BB9" s="904"/>
      <c r="BC9" s="905"/>
      <c r="BD9" s="905"/>
      <c r="BE9" s="905"/>
      <c r="BF9" s="905"/>
      <c r="BG9" s="905"/>
      <c r="BH9" s="905"/>
      <c r="BI9" s="905"/>
      <c r="BJ9" s="905"/>
      <c r="BK9" s="905"/>
      <c r="BL9" s="905"/>
      <c r="BM9" s="905"/>
      <c r="BN9" s="905"/>
      <c r="BO9" s="905"/>
      <c r="BP9" s="906"/>
      <c r="BQ9" s="906"/>
      <c r="BS9" s="913" t="s">
        <v>110</v>
      </c>
      <c r="BT9" s="913"/>
      <c r="BU9" s="906"/>
      <c r="BV9" s="906"/>
      <c r="BW9" s="906"/>
      <c r="BX9" s="906"/>
      <c r="BY9" s="906"/>
      <c r="BZ9" s="906"/>
      <c r="CA9" s="332"/>
      <c r="CB9" s="913" t="s">
        <v>110</v>
      </c>
      <c r="CC9" s="913"/>
      <c r="CD9" s="906"/>
      <c r="CE9" s="906"/>
      <c r="CF9" s="906"/>
      <c r="CG9" s="906"/>
      <c r="CH9" s="906"/>
      <c r="CI9" s="906"/>
      <c r="CJ9" s="906"/>
      <c r="CK9" s="906"/>
      <c r="CL9" s="906"/>
      <c r="CM9" s="906"/>
      <c r="CN9" s="906"/>
    </row>
    <row r="10" spans="1:93" ht="17.100000000000001" customHeight="1">
      <c r="B10" s="334">
        <v>2</v>
      </c>
      <c r="C10" s="897"/>
      <c r="D10" s="898"/>
      <c r="E10" s="898"/>
      <c r="F10" s="898"/>
      <c r="G10" s="898"/>
      <c r="H10" s="899"/>
      <c r="I10" s="900"/>
      <c r="J10" s="900"/>
      <c r="K10" s="900"/>
      <c r="L10" s="900"/>
      <c r="M10" s="900"/>
      <c r="N10" s="900"/>
      <c r="O10" s="900"/>
      <c r="P10" s="900"/>
      <c r="Q10" s="900"/>
      <c r="R10" s="900"/>
      <c r="S10" s="900"/>
      <c r="T10" s="900"/>
      <c r="U10" s="900"/>
      <c r="V10" s="901"/>
      <c r="W10" s="901"/>
      <c r="Y10" s="912" t="s">
        <v>115</v>
      </c>
      <c r="Z10" s="912"/>
      <c r="AA10" s="906"/>
      <c r="AB10" s="906"/>
      <c r="AC10" s="906"/>
      <c r="AD10" s="906"/>
      <c r="AE10" s="906"/>
      <c r="AF10" s="906"/>
      <c r="AG10" s="332"/>
      <c r="AH10" s="912" t="s">
        <v>115</v>
      </c>
      <c r="AI10" s="912"/>
      <c r="AJ10" s="906"/>
      <c r="AK10" s="906"/>
      <c r="AL10" s="906"/>
      <c r="AM10" s="906"/>
      <c r="AN10" s="906"/>
      <c r="AO10" s="906"/>
      <c r="AP10" s="906"/>
      <c r="AQ10" s="906"/>
      <c r="AR10" s="906"/>
      <c r="AS10" s="906"/>
      <c r="AT10" s="906"/>
      <c r="AV10" s="334">
        <v>2</v>
      </c>
      <c r="AW10" s="897"/>
      <c r="AX10" s="898"/>
      <c r="AY10" s="898"/>
      <c r="AZ10" s="898"/>
      <c r="BA10" s="898"/>
      <c r="BB10" s="899"/>
      <c r="BC10" s="900"/>
      <c r="BD10" s="900"/>
      <c r="BE10" s="900"/>
      <c r="BF10" s="900"/>
      <c r="BG10" s="900"/>
      <c r="BH10" s="900"/>
      <c r="BI10" s="900"/>
      <c r="BJ10" s="900"/>
      <c r="BK10" s="900"/>
      <c r="BL10" s="900"/>
      <c r="BM10" s="900"/>
      <c r="BN10" s="900"/>
      <c r="BO10" s="900"/>
      <c r="BP10" s="901"/>
      <c r="BQ10" s="901"/>
      <c r="BS10" s="912" t="s">
        <v>115</v>
      </c>
      <c r="BT10" s="912"/>
      <c r="BU10" s="906"/>
      <c r="BV10" s="906"/>
      <c r="BW10" s="906"/>
      <c r="BX10" s="906"/>
      <c r="BY10" s="906"/>
      <c r="BZ10" s="906"/>
      <c r="CA10" s="332"/>
      <c r="CB10" s="912" t="s">
        <v>115</v>
      </c>
      <c r="CC10" s="912"/>
      <c r="CD10" s="906"/>
      <c r="CE10" s="906"/>
      <c r="CF10" s="906"/>
      <c r="CG10" s="906"/>
      <c r="CH10" s="906"/>
      <c r="CI10" s="906"/>
      <c r="CJ10" s="906"/>
      <c r="CK10" s="906"/>
      <c r="CL10" s="906"/>
      <c r="CM10" s="906"/>
      <c r="CN10" s="906"/>
    </row>
    <row r="11" spans="1:93" ht="17.100000000000001" customHeight="1">
      <c r="B11" s="333">
        <v>3</v>
      </c>
      <c r="C11" s="902"/>
      <c r="D11" s="903"/>
      <c r="E11" s="903"/>
      <c r="F11" s="903"/>
      <c r="G11" s="903"/>
      <c r="H11" s="904"/>
      <c r="I11" s="905"/>
      <c r="J11" s="905"/>
      <c r="K11" s="905"/>
      <c r="L11" s="905"/>
      <c r="M11" s="905"/>
      <c r="N11" s="905"/>
      <c r="O11" s="905"/>
      <c r="P11" s="905"/>
      <c r="Q11" s="905"/>
      <c r="R11" s="905"/>
      <c r="S11" s="905"/>
      <c r="T11" s="905"/>
      <c r="U11" s="905"/>
      <c r="V11" s="906"/>
      <c r="W11" s="906"/>
      <c r="Y11" s="911" t="s">
        <v>116</v>
      </c>
      <c r="Z11" s="911"/>
      <c r="AA11" s="906"/>
      <c r="AB11" s="906"/>
      <c r="AC11" s="906"/>
      <c r="AD11" s="906"/>
      <c r="AE11" s="906"/>
      <c r="AF11" s="906"/>
      <c r="AG11" s="332"/>
      <c r="AH11" s="911" t="s">
        <v>116</v>
      </c>
      <c r="AI11" s="911"/>
      <c r="AJ11" s="906"/>
      <c r="AK11" s="906"/>
      <c r="AL11" s="906"/>
      <c r="AM11" s="906"/>
      <c r="AN11" s="906"/>
      <c r="AO11" s="906"/>
      <c r="AP11" s="906"/>
      <c r="AQ11" s="906"/>
      <c r="AR11" s="906"/>
      <c r="AS11" s="906"/>
      <c r="AT11" s="906"/>
      <c r="AV11" s="333">
        <v>3</v>
      </c>
      <c r="AW11" s="902"/>
      <c r="AX11" s="903"/>
      <c r="AY11" s="903"/>
      <c r="AZ11" s="903"/>
      <c r="BA11" s="903"/>
      <c r="BB11" s="904"/>
      <c r="BC11" s="905"/>
      <c r="BD11" s="905"/>
      <c r="BE11" s="905"/>
      <c r="BF11" s="905"/>
      <c r="BG11" s="905"/>
      <c r="BH11" s="905"/>
      <c r="BI11" s="905"/>
      <c r="BJ11" s="905"/>
      <c r="BK11" s="905"/>
      <c r="BL11" s="905"/>
      <c r="BM11" s="905"/>
      <c r="BN11" s="905"/>
      <c r="BO11" s="905"/>
      <c r="BP11" s="906"/>
      <c r="BQ11" s="906"/>
      <c r="BS11" s="911" t="s">
        <v>116</v>
      </c>
      <c r="BT11" s="911"/>
      <c r="BU11" s="906"/>
      <c r="BV11" s="906"/>
      <c r="BW11" s="906"/>
      <c r="BX11" s="906"/>
      <c r="BY11" s="906"/>
      <c r="BZ11" s="906"/>
      <c r="CA11" s="332"/>
      <c r="CB11" s="911" t="s">
        <v>116</v>
      </c>
      <c r="CC11" s="911"/>
      <c r="CD11" s="906"/>
      <c r="CE11" s="906"/>
      <c r="CF11" s="906"/>
      <c r="CG11" s="906"/>
      <c r="CH11" s="906"/>
      <c r="CI11" s="906"/>
      <c r="CJ11" s="906"/>
      <c r="CK11" s="906"/>
      <c r="CL11" s="906"/>
      <c r="CM11" s="906"/>
      <c r="CN11" s="906"/>
    </row>
    <row r="12" spans="1:93" ht="17.100000000000001" customHeight="1">
      <c r="B12" s="334">
        <v>4</v>
      </c>
      <c r="C12" s="897"/>
      <c r="D12" s="898"/>
      <c r="E12" s="898"/>
      <c r="F12" s="898"/>
      <c r="G12" s="898"/>
      <c r="H12" s="899"/>
      <c r="I12" s="900"/>
      <c r="J12" s="900"/>
      <c r="K12" s="900"/>
      <c r="L12" s="900"/>
      <c r="M12" s="900"/>
      <c r="N12" s="900"/>
      <c r="O12" s="900"/>
      <c r="P12" s="900"/>
      <c r="Q12" s="900"/>
      <c r="R12" s="900"/>
      <c r="S12" s="900"/>
      <c r="T12" s="900"/>
      <c r="U12" s="900"/>
      <c r="V12" s="901"/>
      <c r="W12" s="901"/>
      <c r="Y12" s="910" t="s">
        <v>121</v>
      </c>
      <c r="Z12" s="910"/>
      <c r="AA12" s="906"/>
      <c r="AB12" s="906"/>
      <c r="AC12" s="906"/>
      <c r="AD12" s="906"/>
      <c r="AE12" s="906"/>
      <c r="AF12" s="906"/>
      <c r="AG12" s="332"/>
      <c r="AH12" s="910" t="s">
        <v>121</v>
      </c>
      <c r="AI12" s="910"/>
      <c r="AJ12" s="906"/>
      <c r="AK12" s="906"/>
      <c r="AL12" s="906"/>
      <c r="AM12" s="906"/>
      <c r="AN12" s="906"/>
      <c r="AO12" s="906"/>
      <c r="AP12" s="906"/>
      <c r="AQ12" s="906"/>
      <c r="AR12" s="906"/>
      <c r="AS12" s="906"/>
      <c r="AT12" s="906"/>
      <c r="AV12" s="334">
        <v>4</v>
      </c>
      <c r="AW12" s="897"/>
      <c r="AX12" s="898"/>
      <c r="AY12" s="898"/>
      <c r="AZ12" s="898"/>
      <c r="BA12" s="898"/>
      <c r="BB12" s="899"/>
      <c r="BC12" s="900"/>
      <c r="BD12" s="900"/>
      <c r="BE12" s="900"/>
      <c r="BF12" s="900"/>
      <c r="BG12" s="900"/>
      <c r="BH12" s="900"/>
      <c r="BI12" s="900"/>
      <c r="BJ12" s="900"/>
      <c r="BK12" s="900"/>
      <c r="BL12" s="900"/>
      <c r="BM12" s="900"/>
      <c r="BN12" s="900"/>
      <c r="BO12" s="900"/>
      <c r="BP12" s="901"/>
      <c r="BQ12" s="901"/>
      <c r="BS12" s="910" t="s">
        <v>121</v>
      </c>
      <c r="BT12" s="910"/>
      <c r="BU12" s="906"/>
      <c r="BV12" s="906"/>
      <c r="BW12" s="906"/>
      <c r="BX12" s="906"/>
      <c r="BY12" s="906"/>
      <c r="BZ12" s="906"/>
      <c r="CA12" s="332"/>
      <c r="CB12" s="910" t="s">
        <v>121</v>
      </c>
      <c r="CC12" s="910"/>
      <c r="CD12" s="906"/>
      <c r="CE12" s="906"/>
      <c r="CF12" s="906"/>
      <c r="CG12" s="906"/>
      <c r="CH12" s="906"/>
      <c r="CI12" s="906"/>
      <c r="CJ12" s="906"/>
      <c r="CK12" s="906"/>
      <c r="CL12" s="906"/>
      <c r="CM12" s="906"/>
      <c r="CN12" s="906"/>
    </row>
    <row r="13" spans="1:93" ht="17.100000000000001" customHeight="1">
      <c r="B13" s="333">
        <v>5</v>
      </c>
      <c r="C13" s="902"/>
      <c r="D13" s="903"/>
      <c r="E13" s="903"/>
      <c r="F13" s="903"/>
      <c r="G13" s="903"/>
      <c r="H13" s="904"/>
      <c r="I13" s="905"/>
      <c r="J13" s="905"/>
      <c r="K13" s="905"/>
      <c r="L13" s="905"/>
      <c r="M13" s="905"/>
      <c r="N13" s="905"/>
      <c r="O13" s="905"/>
      <c r="P13" s="905"/>
      <c r="Q13" s="905"/>
      <c r="R13" s="905"/>
      <c r="S13" s="905"/>
      <c r="T13" s="905"/>
      <c r="U13" s="905"/>
      <c r="V13" s="906"/>
      <c r="W13" s="906"/>
      <c r="Y13" s="909" t="s">
        <v>123</v>
      </c>
      <c r="Z13" s="909"/>
      <c r="AA13" s="906"/>
      <c r="AB13" s="906"/>
      <c r="AC13" s="906"/>
      <c r="AD13" s="906"/>
      <c r="AE13" s="906"/>
      <c r="AF13" s="906"/>
      <c r="AG13" s="332"/>
      <c r="AH13" s="909" t="s">
        <v>123</v>
      </c>
      <c r="AI13" s="909"/>
      <c r="AJ13" s="906"/>
      <c r="AK13" s="906"/>
      <c r="AL13" s="906"/>
      <c r="AM13" s="906"/>
      <c r="AN13" s="906"/>
      <c r="AO13" s="906"/>
      <c r="AP13" s="906"/>
      <c r="AQ13" s="906"/>
      <c r="AR13" s="906"/>
      <c r="AS13" s="906"/>
      <c r="AT13" s="906"/>
      <c r="AV13" s="333">
        <v>5</v>
      </c>
      <c r="AW13" s="902"/>
      <c r="AX13" s="903"/>
      <c r="AY13" s="903"/>
      <c r="AZ13" s="903"/>
      <c r="BA13" s="903"/>
      <c r="BB13" s="904"/>
      <c r="BC13" s="905"/>
      <c r="BD13" s="905"/>
      <c r="BE13" s="905"/>
      <c r="BF13" s="905"/>
      <c r="BG13" s="905"/>
      <c r="BH13" s="905"/>
      <c r="BI13" s="905"/>
      <c r="BJ13" s="905"/>
      <c r="BK13" s="905"/>
      <c r="BL13" s="905"/>
      <c r="BM13" s="905"/>
      <c r="BN13" s="905"/>
      <c r="BO13" s="905"/>
      <c r="BP13" s="906"/>
      <c r="BQ13" s="906"/>
      <c r="BS13" s="909" t="s">
        <v>123</v>
      </c>
      <c r="BT13" s="909"/>
      <c r="BU13" s="906"/>
      <c r="BV13" s="906"/>
      <c r="BW13" s="906"/>
      <c r="BX13" s="906"/>
      <c r="BY13" s="906"/>
      <c r="BZ13" s="906"/>
      <c r="CA13" s="332"/>
      <c r="CB13" s="909" t="s">
        <v>123</v>
      </c>
      <c r="CC13" s="909"/>
      <c r="CD13" s="906"/>
      <c r="CE13" s="906"/>
      <c r="CF13" s="906"/>
      <c r="CG13" s="906"/>
      <c r="CH13" s="906"/>
      <c r="CI13" s="906"/>
      <c r="CJ13" s="906"/>
      <c r="CK13" s="906"/>
      <c r="CL13" s="906"/>
      <c r="CM13" s="906"/>
      <c r="CN13" s="906"/>
    </row>
    <row r="14" spans="1:93" ht="17.100000000000001" customHeight="1">
      <c r="B14" s="334">
        <v>6</v>
      </c>
      <c r="C14" s="897"/>
      <c r="D14" s="898"/>
      <c r="E14" s="898"/>
      <c r="F14" s="898"/>
      <c r="G14" s="898"/>
      <c r="H14" s="899"/>
      <c r="I14" s="900"/>
      <c r="J14" s="900"/>
      <c r="K14" s="900"/>
      <c r="L14" s="900"/>
      <c r="M14" s="900"/>
      <c r="N14" s="900"/>
      <c r="O14" s="900"/>
      <c r="P14" s="900"/>
      <c r="Q14" s="900"/>
      <c r="R14" s="900"/>
      <c r="S14" s="900"/>
      <c r="T14" s="900"/>
      <c r="U14" s="900"/>
      <c r="V14" s="901"/>
      <c r="W14" s="901"/>
      <c r="Y14" s="332"/>
      <c r="Z14" s="332"/>
      <c r="AA14" s="332"/>
      <c r="AB14" s="332"/>
      <c r="AC14" s="332"/>
      <c r="AD14" s="332"/>
      <c r="AE14" s="332"/>
      <c r="AF14" s="332"/>
      <c r="AG14" s="332"/>
      <c r="AH14" s="332"/>
      <c r="AI14" s="332"/>
      <c r="AJ14" s="332"/>
      <c r="AK14" s="332"/>
      <c r="AL14" s="332"/>
      <c r="AM14" s="332"/>
      <c r="AN14" s="332"/>
      <c r="AO14" s="332"/>
      <c r="AV14" s="334">
        <v>6</v>
      </c>
      <c r="AW14" s="897"/>
      <c r="AX14" s="898"/>
      <c r="AY14" s="898"/>
      <c r="AZ14" s="898"/>
      <c r="BA14" s="898"/>
      <c r="BB14" s="899"/>
      <c r="BC14" s="900"/>
      <c r="BD14" s="900"/>
      <c r="BE14" s="900"/>
      <c r="BF14" s="900"/>
      <c r="BG14" s="900"/>
      <c r="BH14" s="900"/>
      <c r="BI14" s="900"/>
      <c r="BJ14" s="900"/>
      <c r="BK14" s="900"/>
      <c r="BL14" s="900"/>
      <c r="BM14" s="900"/>
      <c r="BN14" s="900"/>
      <c r="BO14" s="900"/>
      <c r="BP14" s="901"/>
      <c r="BQ14" s="901"/>
      <c r="BS14" s="332"/>
      <c r="BT14" s="332"/>
      <c r="BU14" s="332"/>
      <c r="BV14" s="332"/>
      <c r="BW14" s="332"/>
      <c r="BX14" s="332"/>
      <c r="BY14" s="332"/>
      <c r="BZ14" s="332"/>
      <c r="CA14" s="332"/>
      <c r="CB14" s="332"/>
      <c r="CC14" s="332"/>
      <c r="CD14" s="332"/>
      <c r="CE14" s="332"/>
      <c r="CF14" s="332"/>
      <c r="CG14" s="332"/>
      <c r="CH14" s="332"/>
      <c r="CI14" s="332"/>
    </row>
    <row r="15" spans="1:93" ht="17.100000000000001" customHeight="1">
      <c r="B15" s="333">
        <v>7</v>
      </c>
      <c r="C15" s="902"/>
      <c r="D15" s="903"/>
      <c r="E15" s="903"/>
      <c r="F15" s="903"/>
      <c r="G15" s="903"/>
      <c r="H15" s="904"/>
      <c r="I15" s="905"/>
      <c r="J15" s="905"/>
      <c r="K15" s="905"/>
      <c r="L15" s="905"/>
      <c r="M15" s="905"/>
      <c r="N15" s="905"/>
      <c r="O15" s="905"/>
      <c r="P15" s="905"/>
      <c r="Q15" s="905"/>
      <c r="R15" s="905"/>
      <c r="S15" s="905"/>
      <c r="T15" s="905"/>
      <c r="U15" s="905"/>
      <c r="V15" s="906"/>
      <c r="W15" s="906"/>
      <c r="Y15" s="908" t="str">
        <f>IF(C3="","",C3&amp;"的武器架")</f>
        <v>据点1的武器架</v>
      </c>
      <c r="Z15" s="908"/>
      <c r="AA15" s="908"/>
      <c r="AB15" s="908"/>
      <c r="AC15" s="908"/>
      <c r="AD15" s="908"/>
      <c r="AE15" s="908"/>
      <c r="AF15" s="908"/>
      <c r="AG15" s="908"/>
      <c r="AH15" s="908"/>
      <c r="AI15" s="908"/>
      <c r="AJ15" s="908"/>
      <c r="AK15" s="908"/>
      <c r="AL15" s="908"/>
      <c r="AM15" s="908"/>
      <c r="AN15" s="908"/>
      <c r="AO15" s="908"/>
      <c r="AP15" s="908"/>
      <c r="AQ15" s="908"/>
      <c r="AR15" s="908"/>
      <c r="AS15" s="908"/>
      <c r="AT15" s="908"/>
      <c r="AV15" s="333">
        <v>7</v>
      </c>
      <c r="AW15" s="902"/>
      <c r="AX15" s="903"/>
      <c r="AY15" s="903"/>
      <c r="AZ15" s="903"/>
      <c r="BA15" s="903"/>
      <c r="BB15" s="904"/>
      <c r="BC15" s="905"/>
      <c r="BD15" s="905"/>
      <c r="BE15" s="905"/>
      <c r="BF15" s="905"/>
      <c r="BG15" s="905"/>
      <c r="BH15" s="905"/>
      <c r="BI15" s="905"/>
      <c r="BJ15" s="905"/>
      <c r="BK15" s="905"/>
      <c r="BL15" s="905"/>
      <c r="BM15" s="905"/>
      <c r="BN15" s="905"/>
      <c r="BO15" s="905"/>
      <c r="BP15" s="906"/>
      <c r="BQ15" s="906"/>
      <c r="BS15" s="908" t="str">
        <f>IF(AW3="","",AW3&amp;"的武器架")</f>
        <v>据点2的武器架</v>
      </c>
      <c r="BT15" s="908"/>
      <c r="BU15" s="908"/>
      <c r="BV15" s="908"/>
      <c r="BW15" s="908"/>
      <c r="BX15" s="908"/>
      <c r="BY15" s="908"/>
      <c r="BZ15" s="908"/>
      <c r="CA15" s="908"/>
      <c r="CB15" s="908"/>
      <c r="CC15" s="908"/>
      <c r="CD15" s="908"/>
      <c r="CE15" s="908"/>
      <c r="CF15" s="908"/>
      <c r="CG15" s="908"/>
      <c r="CH15" s="908"/>
      <c r="CI15" s="908"/>
      <c r="CJ15" s="908"/>
      <c r="CK15" s="908"/>
      <c r="CL15" s="908"/>
      <c r="CM15" s="908"/>
      <c r="CN15" s="908"/>
    </row>
    <row r="16" spans="1:93" ht="17.100000000000001" customHeight="1">
      <c r="B16" s="334">
        <v>8</v>
      </c>
      <c r="C16" s="897"/>
      <c r="D16" s="898"/>
      <c r="E16" s="898"/>
      <c r="F16" s="898"/>
      <c r="G16" s="898"/>
      <c r="H16" s="899"/>
      <c r="I16" s="900"/>
      <c r="J16" s="900"/>
      <c r="K16" s="900"/>
      <c r="L16" s="900"/>
      <c r="M16" s="900"/>
      <c r="N16" s="900"/>
      <c r="O16" s="900"/>
      <c r="P16" s="900"/>
      <c r="Q16" s="900"/>
      <c r="R16" s="900"/>
      <c r="S16" s="900"/>
      <c r="T16" s="900"/>
      <c r="U16" s="900"/>
      <c r="V16" s="901"/>
      <c r="W16" s="901"/>
      <c r="Y16" s="332"/>
      <c r="Z16" s="907" t="s">
        <v>76</v>
      </c>
      <c r="AA16" s="907"/>
      <c r="AB16" s="907"/>
      <c r="AC16" s="907"/>
      <c r="AD16" s="907"/>
      <c r="AE16" s="907"/>
      <c r="AF16" s="907" t="s">
        <v>132</v>
      </c>
      <c r="AG16" s="907"/>
      <c r="AH16" s="907"/>
      <c r="AI16" s="907"/>
      <c r="AJ16" s="907"/>
      <c r="AK16" s="907"/>
      <c r="AL16" s="907"/>
      <c r="AM16" s="907"/>
      <c r="AN16" s="907"/>
      <c r="AO16" s="907"/>
      <c r="AP16" s="907"/>
      <c r="AQ16" s="907"/>
      <c r="AR16" s="907"/>
      <c r="AS16" s="907" t="s">
        <v>1984</v>
      </c>
      <c r="AT16" s="907"/>
      <c r="AV16" s="334">
        <v>8</v>
      </c>
      <c r="AW16" s="897"/>
      <c r="AX16" s="898"/>
      <c r="AY16" s="898"/>
      <c r="AZ16" s="898"/>
      <c r="BA16" s="898"/>
      <c r="BB16" s="899"/>
      <c r="BC16" s="900"/>
      <c r="BD16" s="900"/>
      <c r="BE16" s="900"/>
      <c r="BF16" s="900"/>
      <c r="BG16" s="900"/>
      <c r="BH16" s="900"/>
      <c r="BI16" s="900"/>
      <c r="BJ16" s="900"/>
      <c r="BK16" s="900"/>
      <c r="BL16" s="900"/>
      <c r="BM16" s="900"/>
      <c r="BN16" s="900"/>
      <c r="BO16" s="900"/>
      <c r="BP16" s="901"/>
      <c r="BQ16" s="901"/>
      <c r="BS16" s="332"/>
      <c r="BT16" s="907" t="s">
        <v>76</v>
      </c>
      <c r="BU16" s="907"/>
      <c r="BV16" s="907"/>
      <c r="BW16" s="907"/>
      <c r="BX16" s="907"/>
      <c r="BY16" s="907"/>
      <c r="BZ16" s="907" t="s">
        <v>132</v>
      </c>
      <c r="CA16" s="907"/>
      <c r="CB16" s="907"/>
      <c r="CC16" s="907"/>
      <c r="CD16" s="907"/>
      <c r="CE16" s="907"/>
      <c r="CF16" s="907"/>
      <c r="CG16" s="907"/>
      <c r="CH16" s="907"/>
      <c r="CI16" s="907"/>
      <c r="CJ16" s="907"/>
      <c r="CK16" s="907"/>
      <c r="CL16" s="907"/>
      <c r="CM16" s="907" t="s">
        <v>1984</v>
      </c>
      <c r="CN16" s="907"/>
    </row>
    <row r="17" spans="2:92" ht="17.100000000000001" customHeight="1">
      <c r="B17" s="333">
        <v>9</v>
      </c>
      <c r="C17" s="902"/>
      <c r="D17" s="903"/>
      <c r="E17" s="903"/>
      <c r="F17" s="903"/>
      <c r="G17" s="903"/>
      <c r="H17" s="904"/>
      <c r="I17" s="905"/>
      <c r="J17" s="905"/>
      <c r="K17" s="905"/>
      <c r="L17" s="905"/>
      <c r="M17" s="905"/>
      <c r="N17" s="905"/>
      <c r="O17" s="905"/>
      <c r="P17" s="905"/>
      <c r="Q17" s="905"/>
      <c r="R17" s="905"/>
      <c r="S17" s="905"/>
      <c r="T17" s="905"/>
      <c r="U17" s="905"/>
      <c r="V17" s="906"/>
      <c r="W17" s="906"/>
      <c r="Y17" s="333">
        <v>1</v>
      </c>
      <c r="Z17" s="902"/>
      <c r="AA17" s="903"/>
      <c r="AB17" s="903"/>
      <c r="AC17" s="903"/>
      <c r="AD17" s="903"/>
      <c r="AE17" s="904"/>
      <c r="AF17" s="905"/>
      <c r="AG17" s="905"/>
      <c r="AH17" s="905"/>
      <c r="AI17" s="905"/>
      <c r="AJ17" s="905"/>
      <c r="AK17" s="905"/>
      <c r="AL17" s="905"/>
      <c r="AM17" s="905"/>
      <c r="AN17" s="905"/>
      <c r="AO17" s="905"/>
      <c r="AP17" s="905"/>
      <c r="AQ17" s="905"/>
      <c r="AR17" s="905"/>
      <c r="AS17" s="906"/>
      <c r="AT17" s="906"/>
      <c r="AV17" s="333">
        <v>9</v>
      </c>
      <c r="AW17" s="902"/>
      <c r="AX17" s="903"/>
      <c r="AY17" s="903"/>
      <c r="AZ17" s="903"/>
      <c r="BA17" s="903"/>
      <c r="BB17" s="904"/>
      <c r="BC17" s="905"/>
      <c r="BD17" s="905"/>
      <c r="BE17" s="905"/>
      <c r="BF17" s="905"/>
      <c r="BG17" s="905"/>
      <c r="BH17" s="905"/>
      <c r="BI17" s="905"/>
      <c r="BJ17" s="905"/>
      <c r="BK17" s="905"/>
      <c r="BL17" s="905"/>
      <c r="BM17" s="905"/>
      <c r="BN17" s="905"/>
      <c r="BO17" s="905"/>
      <c r="BP17" s="906"/>
      <c r="BQ17" s="906"/>
      <c r="BS17" s="333">
        <v>1</v>
      </c>
      <c r="BT17" s="902"/>
      <c r="BU17" s="903"/>
      <c r="BV17" s="903"/>
      <c r="BW17" s="903"/>
      <c r="BX17" s="903"/>
      <c r="BY17" s="904"/>
      <c r="BZ17" s="905"/>
      <c r="CA17" s="905"/>
      <c r="CB17" s="905"/>
      <c r="CC17" s="905"/>
      <c r="CD17" s="905"/>
      <c r="CE17" s="905"/>
      <c r="CF17" s="905"/>
      <c r="CG17" s="905"/>
      <c r="CH17" s="905"/>
      <c r="CI17" s="905"/>
      <c r="CJ17" s="905"/>
      <c r="CK17" s="905"/>
      <c r="CL17" s="905"/>
      <c r="CM17" s="906"/>
      <c r="CN17" s="906"/>
    </row>
    <row r="18" spans="2:92" ht="17.100000000000001" customHeight="1">
      <c r="B18" s="334">
        <v>10</v>
      </c>
      <c r="C18" s="897"/>
      <c r="D18" s="898"/>
      <c r="E18" s="898"/>
      <c r="F18" s="898"/>
      <c r="G18" s="898"/>
      <c r="H18" s="899"/>
      <c r="I18" s="900"/>
      <c r="J18" s="900"/>
      <c r="K18" s="900"/>
      <c r="L18" s="900"/>
      <c r="M18" s="900"/>
      <c r="N18" s="900"/>
      <c r="O18" s="900"/>
      <c r="P18" s="900"/>
      <c r="Q18" s="900"/>
      <c r="R18" s="900"/>
      <c r="S18" s="900"/>
      <c r="T18" s="900"/>
      <c r="U18" s="900"/>
      <c r="V18" s="901"/>
      <c r="W18" s="901"/>
      <c r="Y18" s="334">
        <v>2</v>
      </c>
      <c r="Z18" s="897"/>
      <c r="AA18" s="898"/>
      <c r="AB18" s="898"/>
      <c r="AC18" s="898"/>
      <c r="AD18" s="898"/>
      <c r="AE18" s="899"/>
      <c r="AF18" s="900"/>
      <c r="AG18" s="900"/>
      <c r="AH18" s="900"/>
      <c r="AI18" s="900"/>
      <c r="AJ18" s="900"/>
      <c r="AK18" s="900"/>
      <c r="AL18" s="900"/>
      <c r="AM18" s="900"/>
      <c r="AN18" s="900"/>
      <c r="AO18" s="900"/>
      <c r="AP18" s="900"/>
      <c r="AQ18" s="900"/>
      <c r="AR18" s="900"/>
      <c r="AS18" s="901"/>
      <c r="AT18" s="901"/>
      <c r="AV18" s="334">
        <v>10</v>
      </c>
      <c r="AW18" s="897"/>
      <c r="AX18" s="898"/>
      <c r="AY18" s="898"/>
      <c r="AZ18" s="898"/>
      <c r="BA18" s="898"/>
      <c r="BB18" s="899"/>
      <c r="BC18" s="900"/>
      <c r="BD18" s="900"/>
      <c r="BE18" s="900"/>
      <c r="BF18" s="900"/>
      <c r="BG18" s="900"/>
      <c r="BH18" s="900"/>
      <c r="BI18" s="900"/>
      <c r="BJ18" s="900"/>
      <c r="BK18" s="900"/>
      <c r="BL18" s="900"/>
      <c r="BM18" s="900"/>
      <c r="BN18" s="900"/>
      <c r="BO18" s="900"/>
      <c r="BP18" s="901"/>
      <c r="BQ18" s="901"/>
      <c r="BS18" s="334">
        <v>2</v>
      </c>
      <c r="BT18" s="897"/>
      <c r="BU18" s="898"/>
      <c r="BV18" s="898"/>
      <c r="BW18" s="898"/>
      <c r="BX18" s="898"/>
      <c r="BY18" s="899"/>
      <c r="BZ18" s="900"/>
      <c r="CA18" s="900"/>
      <c r="CB18" s="900"/>
      <c r="CC18" s="900"/>
      <c r="CD18" s="900"/>
      <c r="CE18" s="900"/>
      <c r="CF18" s="900"/>
      <c r="CG18" s="900"/>
      <c r="CH18" s="900"/>
      <c r="CI18" s="900"/>
      <c r="CJ18" s="900"/>
      <c r="CK18" s="900"/>
      <c r="CL18" s="900"/>
      <c r="CM18" s="901"/>
      <c r="CN18" s="901"/>
    </row>
    <row r="19" spans="2:92" ht="17.100000000000001" customHeight="1">
      <c r="B19" s="333">
        <v>11</v>
      </c>
      <c r="C19" s="902"/>
      <c r="D19" s="903"/>
      <c r="E19" s="903"/>
      <c r="F19" s="903"/>
      <c r="G19" s="903"/>
      <c r="H19" s="904"/>
      <c r="I19" s="905"/>
      <c r="J19" s="905"/>
      <c r="K19" s="905"/>
      <c r="L19" s="905"/>
      <c r="M19" s="905"/>
      <c r="N19" s="905"/>
      <c r="O19" s="905"/>
      <c r="P19" s="905"/>
      <c r="Q19" s="905"/>
      <c r="R19" s="905"/>
      <c r="S19" s="905"/>
      <c r="T19" s="905"/>
      <c r="U19" s="905"/>
      <c r="V19" s="906"/>
      <c r="W19" s="906"/>
      <c r="Y19" s="333">
        <v>3</v>
      </c>
      <c r="Z19" s="902"/>
      <c r="AA19" s="903"/>
      <c r="AB19" s="903"/>
      <c r="AC19" s="903"/>
      <c r="AD19" s="903"/>
      <c r="AE19" s="904"/>
      <c r="AF19" s="905"/>
      <c r="AG19" s="905"/>
      <c r="AH19" s="905"/>
      <c r="AI19" s="905"/>
      <c r="AJ19" s="905"/>
      <c r="AK19" s="905"/>
      <c r="AL19" s="905"/>
      <c r="AM19" s="905"/>
      <c r="AN19" s="905"/>
      <c r="AO19" s="905"/>
      <c r="AP19" s="905"/>
      <c r="AQ19" s="905"/>
      <c r="AR19" s="905"/>
      <c r="AS19" s="906"/>
      <c r="AT19" s="906"/>
      <c r="AV19" s="333">
        <v>11</v>
      </c>
      <c r="AW19" s="902"/>
      <c r="AX19" s="903"/>
      <c r="AY19" s="903"/>
      <c r="AZ19" s="903"/>
      <c r="BA19" s="903"/>
      <c r="BB19" s="904"/>
      <c r="BC19" s="905"/>
      <c r="BD19" s="905"/>
      <c r="BE19" s="905"/>
      <c r="BF19" s="905"/>
      <c r="BG19" s="905"/>
      <c r="BH19" s="905"/>
      <c r="BI19" s="905"/>
      <c r="BJ19" s="905"/>
      <c r="BK19" s="905"/>
      <c r="BL19" s="905"/>
      <c r="BM19" s="905"/>
      <c r="BN19" s="905"/>
      <c r="BO19" s="905"/>
      <c r="BP19" s="906"/>
      <c r="BQ19" s="906"/>
      <c r="BS19" s="333">
        <v>3</v>
      </c>
      <c r="BT19" s="902"/>
      <c r="BU19" s="903"/>
      <c r="BV19" s="903"/>
      <c r="BW19" s="903"/>
      <c r="BX19" s="903"/>
      <c r="BY19" s="904"/>
      <c r="BZ19" s="905"/>
      <c r="CA19" s="905"/>
      <c r="CB19" s="905"/>
      <c r="CC19" s="905"/>
      <c r="CD19" s="905"/>
      <c r="CE19" s="905"/>
      <c r="CF19" s="905"/>
      <c r="CG19" s="905"/>
      <c r="CH19" s="905"/>
      <c r="CI19" s="905"/>
      <c r="CJ19" s="905"/>
      <c r="CK19" s="905"/>
      <c r="CL19" s="905"/>
      <c r="CM19" s="906"/>
      <c r="CN19" s="906"/>
    </row>
    <row r="20" spans="2:92" ht="17.100000000000001" customHeight="1">
      <c r="B20" s="334">
        <v>12</v>
      </c>
      <c r="C20" s="897"/>
      <c r="D20" s="898"/>
      <c r="E20" s="898"/>
      <c r="F20" s="898"/>
      <c r="G20" s="898"/>
      <c r="H20" s="899"/>
      <c r="I20" s="900"/>
      <c r="J20" s="900"/>
      <c r="K20" s="900"/>
      <c r="L20" s="900"/>
      <c r="M20" s="900"/>
      <c r="N20" s="900"/>
      <c r="O20" s="900"/>
      <c r="P20" s="900"/>
      <c r="Q20" s="900"/>
      <c r="R20" s="900"/>
      <c r="S20" s="900"/>
      <c r="T20" s="900"/>
      <c r="U20" s="900"/>
      <c r="V20" s="901"/>
      <c r="W20" s="901"/>
      <c r="Y20" s="334">
        <v>4</v>
      </c>
      <c r="Z20" s="897"/>
      <c r="AA20" s="898"/>
      <c r="AB20" s="898"/>
      <c r="AC20" s="898"/>
      <c r="AD20" s="898"/>
      <c r="AE20" s="899"/>
      <c r="AF20" s="900"/>
      <c r="AG20" s="900"/>
      <c r="AH20" s="900"/>
      <c r="AI20" s="900"/>
      <c r="AJ20" s="900"/>
      <c r="AK20" s="900"/>
      <c r="AL20" s="900"/>
      <c r="AM20" s="900"/>
      <c r="AN20" s="900"/>
      <c r="AO20" s="900"/>
      <c r="AP20" s="900"/>
      <c r="AQ20" s="900"/>
      <c r="AR20" s="900"/>
      <c r="AS20" s="901"/>
      <c r="AT20" s="901"/>
      <c r="AV20" s="334">
        <v>12</v>
      </c>
      <c r="AW20" s="897"/>
      <c r="AX20" s="898"/>
      <c r="AY20" s="898"/>
      <c r="AZ20" s="898"/>
      <c r="BA20" s="898"/>
      <c r="BB20" s="899"/>
      <c r="BC20" s="900"/>
      <c r="BD20" s="900"/>
      <c r="BE20" s="900"/>
      <c r="BF20" s="900"/>
      <c r="BG20" s="900"/>
      <c r="BH20" s="900"/>
      <c r="BI20" s="900"/>
      <c r="BJ20" s="900"/>
      <c r="BK20" s="900"/>
      <c r="BL20" s="900"/>
      <c r="BM20" s="900"/>
      <c r="BN20" s="900"/>
      <c r="BO20" s="900"/>
      <c r="BP20" s="901"/>
      <c r="BQ20" s="901"/>
      <c r="BS20" s="334">
        <v>4</v>
      </c>
      <c r="BT20" s="897"/>
      <c r="BU20" s="898"/>
      <c r="BV20" s="898"/>
      <c r="BW20" s="898"/>
      <c r="BX20" s="898"/>
      <c r="BY20" s="899"/>
      <c r="BZ20" s="900"/>
      <c r="CA20" s="900"/>
      <c r="CB20" s="900"/>
      <c r="CC20" s="900"/>
      <c r="CD20" s="900"/>
      <c r="CE20" s="900"/>
      <c r="CF20" s="900"/>
      <c r="CG20" s="900"/>
      <c r="CH20" s="900"/>
      <c r="CI20" s="900"/>
      <c r="CJ20" s="900"/>
      <c r="CK20" s="900"/>
      <c r="CL20" s="900"/>
      <c r="CM20" s="901"/>
      <c r="CN20" s="901"/>
    </row>
    <row r="21" spans="2:92" ht="17.100000000000001" customHeight="1">
      <c r="B21" s="333">
        <v>13</v>
      </c>
      <c r="C21" s="902"/>
      <c r="D21" s="903"/>
      <c r="E21" s="903"/>
      <c r="F21" s="903"/>
      <c r="G21" s="903"/>
      <c r="H21" s="904"/>
      <c r="I21" s="905"/>
      <c r="J21" s="905"/>
      <c r="K21" s="905"/>
      <c r="L21" s="905"/>
      <c r="M21" s="905"/>
      <c r="N21" s="905"/>
      <c r="O21" s="905"/>
      <c r="P21" s="905"/>
      <c r="Q21" s="905"/>
      <c r="R21" s="905"/>
      <c r="S21" s="905"/>
      <c r="T21" s="905"/>
      <c r="U21" s="905"/>
      <c r="V21" s="906"/>
      <c r="W21" s="906"/>
      <c r="Y21" s="333">
        <v>5</v>
      </c>
      <c r="Z21" s="902"/>
      <c r="AA21" s="903"/>
      <c r="AB21" s="903"/>
      <c r="AC21" s="903"/>
      <c r="AD21" s="903"/>
      <c r="AE21" s="904"/>
      <c r="AF21" s="905"/>
      <c r="AG21" s="905"/>
      <c r="AH21" s="905"/>
      <c r="AI21" s="905"/>
      <c r="AJ21" s="905"/>
      <c r="AK21" s="905"/>
      <c r="AL21" s="905"/>
      <c r="AM21" s="905"/>
      <c r="AN21" s="905"/>
      <c r="AO21" s="905"/>
      <c r="AP21" s="905"/>
      <c r="AQ21" s="905"/>
      <c r="AR21" s="905"/>
      <c r="AS21" s="906"/>
      <c r="AT21" s="906"/>
      <c r="AV21" s="333">
        <v>13</v>
      </c>
      <c r="AW21" s="902"/>
      <c r="AX21" s="903"/>
      <c r="AY21" s="903"/>
      <c r="AZ21" s="903"/>
      <c r="BA21" s="903"/>
      <c r="BB21" s="904"/>
      <c r="BC21" s="905"/>
      <c r="BD21" s="905"/>
      <c r="BE21" s="905"/>
      <c r="BF21" s="905"/>
      <c r="BG21" s="905"/>
      <c r="BH21" s="905"/>
      <c r="BI21" s="905"/>
      <c r="BJ21" s="905"/>
      <c r="BK21" s="905"/>
      <c r="BL21" s="905"/>
      <c r="BM21" s="905"/>
      <c r="BN21" s="905"/>
      <c r="BO21" s="905"/>
      <c r="BP21" s="906"/>
      <c r="BQ21" s="906"/>
      <c r="BS21" s="333">
        <v>5</v>
      </c>
      <c r="BT21" s="902"/>
      <c r="BU21" s="903"/>
      <c r="BV21" s="903"/>
      <c r="BW21" s="903"/>
      <c r="BX21" s="903"/>
      <c r="BY21" s="904"/>
      <c r="BZ21" s="905"/>
      <c r="CA21" s="905"/>
      <c r="CB21" s="905"/>
      <c r="CC21" s="905"/>
      <c r="CD21" s="905"/>
      <c r="CE21" s="905"/>
      <c r="CF21" s="905"/>
      <c r="CG21" s="905"/>
      <c r="CH21" s="905"/>
      <c r="CI21" s="905"/>
      <c r="CJ21" s="905"/>
      <c r="CK21" s="905"/>
      <c r="CL21" s="905"/>
      <c r="CM21" s="906"/>
      <c r="CN21" s="906"/>
    </row>
    <row r="22" spans="2:92" ht="17.100000000000001" customHeight="1">
      <c r="B22" s="334">
        <v>14</v>
      </c>
      <c r="C22" s="897"/>
      <c r="D22" s="898"/>
      <c r="E22" s="898"/>
      <c r="F22" s="898"/>
      <c r="G22" s="898"/>
      <c r="H22" s="899"/>
      <c r="I22" s="900"/>
      <c r="J22" s="900"/>
      <c r="K22" s="900"/>
      <c r="L22" s="900"/>
      <c r="M22" s="900"/>
      <c r="N22" s="900"/>
      <c r="O22" s="900"/>
      <c r="P22" s="900"/>
      <c r="Q22" s="900"/>
      <c r="R22" s="900"/>
      <c r="S22" s="900"/>
      <c r="T22" s="900"/>
      <c r="U22" s="900"/>
      <c r="V22" s="901"/>
      <c r="W22" s="901"/>
      <c r="Y22" s="334">
        <v>6</v>
      </c>
      <c r="Z22" s="897"/>
      <c r="AA22" s="898"/>
      <c r="AB22" s="898"/>
      <c r="AC22" s="898"/>
      <c r="AD22" s="898"/>
      <c r="AE22" s="899"/>
      <c r="AF22" s="900"/>
      <c r="AG22" s="900"/>
      <c r="AH22" s="900"/>
      <c r="AI22" s="900"/>
      <c r="AJ22" s="900"/>
      <c r="AK22" s="900"/>
      <c r="AL22" s="900"/>
      <c r="AM22" s="900"/>
      <c r="AN22" s="900"/>
      <c r="AO22" s="900"/>
      <c r="AP22" s="900"/>
      <c r="AQ22" s="900"/>
      <c r="AR22" s="900"/>
      <c r="AS22" s="901"/>
      <c r="AT22" s="901"/>
      <c r="AV22" s="334">
        <v>14</v>
      </c>
      <c r="AW22" s="897"/>
      <c r="AX22" s="898"/>
      <c r="AY22" s="898"/>
      <c r="AZ22" s="898"/>
      <c r="BA22" s="898"/>
      <c r="BB22" s="899"/>
      <c r="BC22" s="900"/>
      <c r="BD22" s="900"/>
      <c r="BE22" s="900"/>
      <c r="BF22" s="900"/>
      <c r="BG22" s="900"/>
      <c r="BH22" s="900"/>
      <c r="BI22" s="900"/>
      <c r="BJ22" s="900"/>
      <c r="BK22" s="900"/>
      <c r="BL22" s="900"/>
      <c r="BM22" s="900"/>
      <c r="BN22" s="900"/>
      <c r="BO22" s="900"/>
      <c r="BP22" s="901"/>
      <c r="BQ22" s="901"/>
      <c r="BS22" s="334">
        <v>6</v>
      </c>
      <c r="BT22" s="897"/>
      <c r="BU22" s="898"/>
      <c r="BV22" s="898"/>
      <c r="BW22" s="898"/>
      <c r="BX22" s="898"/>
      <c r="BY22" s="899"/>
      <c r="BZ22" s="900"/>
      <c r="CA22" s="900"/>
      <c r="CB22" s="900"/>
      <c r="CC22" s="900"/>
      <c r="CD22" s="900"/>
      <c r="CE22" s="900"/>
      <c r="CF22" s="900"/>
      <c r="CG22" s="900"/>
      <c r="CH22" s="900"/>
      <c r="CI22" s="900"/>
      <c r="CJ22" s="900"/>
      <c r="CK22" s="900"/>
      <c r="CL22" s="900"/>
      <c r="CM22" s="901"/>
      <c r="CN22" s="901"/>
    </row>
    <row r="23" spans="2:92" ht="17.100000000000001" customHeight="1">
      <c r="B23" s="333">
        <v>15</v>
      </c>
      <c r="C23" s="902"/>
      <c r="D23" s="903"/>
      <c r="E23" s="903"/>
      <c r="F23" s="903"/>
      <c r="G23" s="903"/>
      <c r="H23" s="904"/>
      <c r="I23" s="905"/>
      <c r="J23" s="905"/>
      <c r="K23" s="905"/>
      <c r="L23" s="905"/>
      <c r="M23" s="905"/>
      <c r="N23" s="905"/>
      <c r="O23" s="905"/>
      <c r="P23" s="905"/>
      <c r="Q23" s="905"/>
      <c r="R23" s="905"/>
      <c r="S23" s="905"/>
      <c r="T23" s="905"/>
      <c r="U23" s="905"/>
      <c r="V23" s="906"/>
      <c r="W23" s="906"/>
      <c r="Y23" s="333">
        <v>7</v>
      </c>
      <c r="Z23" s="902"/>
      <c r="AA23" s="903"/>
      <c r="AB23" s="903"/>
      <c r="AC23" s="903"/>
      <c r="AD23" s="903"/>
      <c r="AE23" s="904"/>
      <c r="AF23" s="905"/>
      <c r="AG23" s="905"/>
      <c r="AH23" s="905"/>
      <c r="AI23" s="905"/>
      <c r="AJ23" s="905"/>
      <c r="AK23" s="905"/>
      <c r="AL23" s="905"/>
      <c r="AM23" s="905"/>
      <c r="AN23" s="905"/>
      <c r="AO23" s="905"/>
      <c r="AP23" s="905"/>
      <c r="AQ23" s="905"/>
      <c r="AR23" s="905"/>
      <c r="AS23" s="906"/>
      <c r="AT23" s="906"/>
      <c r="AV23" s="333">
        <v>15</v>
      </c>
      <c r="AW23" s="902"/>
      <c r="AX23" s="903"/>
      <c r="AY23" s="903"/>
      <c r="AZ23" s="903"/>
      <c r="BA23" s="903"/>
      <c r="BB23" s="904"/>
      <c r="BC23" s="905"/>
      <c r="BD23" s="905"/>
      <c r="BE23" s="905"/>
      <c r="BF23" s="905"/>
      <c r="BG23" s="905"/>
      <c r="BH23" s="905"/>
      <c r="BI23" s="905"/>
      <c r="BJ23" s="905"/>
      <c r="BK23" s="905"/>
      <c r="BL23" s="905"/>
      <c r="BM23" s="905"/>
      <c r="BN23" s="905"/>
      <c r="BO23" s="905"/>
      <c r="BP23" s="906"/>
      <c r="BQ23" s="906"/>
      <c r="BS23" s="333">
        <v>7</v>
      </c>
      <c r="BT23" s="902"/>
      <c r="BU23" s="903"/>
      <c r="BV23" s="903"/>
      <c r="BW23" s="903"/>
      <c r="BX23" s="903"/>
      <c r="BY23" s="904"/>
      <c r="BZ23" s="905"/>
      <c r="CA23" s="905"/>
      <c r="CB23" s="905"/>
      <c r="CC23" s="905"/>
      <c r="CD23" s="905"/>
      <c r="CE23" s="905"/>
      <c r="CF23" s="905"/>
      <c r="CG23" s="905"/>
      <c r="CH23" s="905"/>
      <c r="CI23" s="905"/>
      <c r="CJ23" s="905"/>
      <c r="CK23" s="905"/>
      <c r="CL23" s="905"/>
      <c r="CM23" s="906"/>
      <c r="CN23" s="906"/>
    </row>
    <row r="24" spans="2:92" ht="17.100000000000001" customHeight="1">
      <c r="B24" s="334">
        <v>16</v>
      </c>
      <c r="C24" s="897"/>
      <c r="D24" s="898"/>
      <c r="E24" s="898"/>
      <c r="F24" s="898"/>
      <c r="G24" s="898"/>
      <c r="H24" s="899"/>
      <c r="I24" s="900"/>
      <c r="J24" s="900"/>
      <c r="K24" s="900"/>
      <c r="L24" s="900"/>
      <c r="M24" s="900"/>
      <c r="N24" s="900"/>
      <c r="O24" s="900"/>
      <c r="P24" s="900"/>
      <c r="Q24" s="900"/>
      <c r="R24" s="900"/>
      <c r="S24" s="900"/>
      <c r="T24" s="900"/>
      <c r="U24" s="900"/>
      <c r="V24" s="901"/>
      <c r="W24" s="901"/>
      <c r="Y24" s="334">
        <v>8</v>
      </c>
      <c r="Z24" s="897"/>
      <c r="AA24" s="898"/>
      <c r="AB24" s="898"/>
      <c r="AC24" s="898"/>
      <c r="AD24" s="898"/>
      <c r="AE24" s="899"/>
      <c r="AF24" s="900"/>
      <c r="AG24" s="900"/>
      <c r="AH24" s="900"/>
      <c r="AI24" s="900"/>
      <c r="AJ24" s="900"/>
      <c r="AK24" s="900"/>
      <c r="AL24" s="900"/>
      <c r="AM24" s="900"/>
      <c r="AN24" s="900"/>
      <c r="AO24" s="900"/>
      <c r="AP24" s="900"/>
      <c r="AQ24" s="900"/>
      <c r="AR24" s="900"/>
      <c r="AS24" s="901"/>
      <c r="AT24" s="901"/>
      <c r="AV24" s="334">
        <v>16</v>
      </c>
      <c r="AW24" s="897"/>
      <c r="AX24" s="898"/>
      <c r="AY24" s="898"/>
      <c r="AZ24" s="898"/>
      <c r="BA24" s="898"/>
      <c r="BB24" s="899"/>
      <c r="BC24" s="900"/>
      <c r="BD24" s="900"/>
      <c r="BE24" s="900"/>
      <c r="BF24" s="900"/>
      <c r="BG24" s="900"/>
      <c r="BH24" s="900"/>
      <c r="BI24" s="900"/>
      <c r="BJ24" s="900"/>
      <c r="BK24" s="900"/>
      <c r="BL24" s="900"/>
      <c r="BM24" s="900"/>
      <c r="BN24" s="900"/>
      <c r="BO24" s="900"/>
      <c r="BP24" s="901"/>
      <c r="BQ24" s="901"/>
      <c r="BS24" s="334">
        <v>8</v>
      </c>
      <c r="BT24" s="897"/>
      <c r="BU24" s="898"/>
      <c r="BV24" s="898"/>
      <c r="BW24" s="898"/>
      <c r="BX24" s="898"/>
      <c r="BY24" s="899"/>
      <c r="BZ24" s="900"/>
      <c r="CA24" s="900"/>
      <c r="CB24" s="900"/>
      <c r="CC24" s="900"/>
      <c r="CD24" s="900"/>
      <c r="CE24" s="900"/>
      <c r="CF24" s="900"/>
      <c r="CG24" s="900"/>
      <c r="CH24" s="900"/>
      <c r="CI24" s="900"/>
      <c r="CJ24" s="900"/>
      <c r="CK24" s="900"/>
      <c r="CL24" s="900"/>
      <c r="CM24" s="901"/>
      <c r="CN24" s="901"/>
    </row>
    <row r="25" spans="2:92" ht="17.100000000000001" customHeight="1">
      <c r="B25" s="333">
        <v>17</v>
      </c>
      <c r="C25" s="902"/>
      <c r="D25" s="903"/>
      <c r="E25" s="903"/>
      <c r="F25" s="903"/>
      <c r="G25" s="903"/>
      <c r="H25" s="904"/>
      <c r="I25" s="905"/>
      <c r="J25" s="905"/>
      <c r="K25" s="905"/>
      <c r="L25" s="905"/>
      <c r="M25" s="905"/>
      <c r="N25" s="905"/>
      <c r="O25" s="905"/>
      <c r="P25" s="905"/>
      <c r="Q25" s="905"/>
      <c r="R25" s="905"/>
      <c r="S25" s="905"/>
      <c r="T25" s="905"/>
      <c r="U25" s="905"/>
      <c r="V25" s="906"/>
      <c r="W25" s="906"/>
      <c r="Y25" s="333">
        <v>9</v>
      </c>
      <c r="Z25" s="902"/>
      <c r="AA25" s="903"/>
      <c r="AB25" s="903"/>
      <c r="AC25" s="903"/>
      <c r="AD25" s="903"/>
      <c r="AE25" s="904"/>
      <c r="AF25" s="905"/>
      <c r="AG25" s="905"/>
      <c r="AH25" s="905"/>
      <c r="AI25" s="905"/>
      <c r="AJ25" s="905"/>
      <c r="AK25" s="905"/>
      <c r="AL25" s="905"/>
      <c r="AM25" s="905"/>
      <c r="AN25" s="905"/>
      <c r="AO25" s="905"/>
      <c r="AP25" s="905"/>
      <c r="AQ25" s="905"/>
      <c r="AR25" s="905"/>
      <c r="AS25" s="906"/>
      <c r="AT25" s="906"/>
      <c r="AV25" s="333">
        <v>17</v>
      </c>
      <c r="AW25" s="902"/>
      <c r="AX25" s="903"/>
      <c r="AY25" s="903"/>
      <c r="AZ25" s="903"/>
      <c r="BA25" s="903"/>
      <c r="BB25" s="904"/>
      <c r="BC25" s="905"/>
      <c r="BD25" s="905"/>
      <c r="BE25" s="905"/>
      <c r="BF25" s="905"/>
      <c r="BG25" s="905"/>
      <c r="BH25" s="905"/>
      <c r="BI25" s="905"/>
      <c r="BJ25" s="905"/>
      <c r="BK25" s="905"/>
      <c r="BL25" s="905"/>
      <c r="BM25" s="905"/>
      <c r="BN25" s="905"/>
      <c r="BO25" s="905"/>
      <c r="BP25" s="906"/>
      <c r="BQ25" s="906"/>
      <c r="BS25" s="333">
        <v>9</v>
      </c>
      <c r="BT25" s="902"/>
      <c r="BU25" s="903"/>
      <c r="BV25" s="903"/>
      <c r="BW25" s="903"/>
      <c r="BX25" s="903"/>
      <c r="BY25" s="904"/>
      <c r="BZ25" s="905"/>
      <c r="CA25" s="905"/>
      <c r="CB25" s="905"/>
      <c r="CC25" s="905"/>
      <c r="CD25" s="905"/>
      <c r="CE25" s="905"/>
      <c r="CF25" s="905"/>
      <c r="CG25" s="905"/>
      <c r="CH25" s="905"/>
      <c r="CI25" s="905"/>
      <c r="CJ25" s="905"/>
      <c r="CK25" s="905"/>
      <c r="CL25" s="905"/>
      <c r="CM25" s="906"/>
      <c r="CN25" s="906"/>
    </row>
    <row r="26" spans="2:92" ht="17.100000000000001" customHeight="1">
      <c r="B26" s="334">
        <v>18</v>
      </c>
      <c r="C26" s="897"/>
      <c r="D26" s="898"/>
      <c r="E26" s="898"/>
      <c r="F26" s="898"/>
      <c r="G26" s="898"/>
      <c r="H26" s="899"/>
      <c r="I26" s="900"/>
      <c r="J26" s="900"/>
      <c r="K26" s="900"/>
      <c r="L26" s="900"/>
      <c r="M26" s="900"/>
      <c r="N26" s="900"/>
      <c r="O26" s="900"/>
      <c r="P26" s="900"/>
      <c r="Q26" s="900"/>
      <c r="R26" s="900"/>
      <c r="S26" s="900"/>
      <c r="T26" s="900"/>
      <c r="U26" s="900"/>
      <c r="V26" s="901"/>
      <c r="W26" s="901"/>
      <c r="Y26" s="334">
        <v>10</v>
      </c>
      <c r="Z26" s="897"/>
      <c r="AA26" s="898"/>
      <c r="AB26" s="898"/>
      <c r="AC26" s="898"/>
      <c r="AD26" s="898"/>
      <c r="AE26" s="899"/>
      <c r="AF26" s="900"/>
      <c r="AG26" s="900"/>
      <c r="AH26" s="900"/>
      <c r="AI26" s="900"/>
      <c r="AJ26" s="900"/>
      <c r="AK26" s="900"/>
      <c r="AL26" s="900"/>
      <c r="AM26" s="900"/>
      <c r="AN26" s="900"/>
      <c r="AO26" s="900"/>
      <c r="AP26" s="900"/>
      <c r="AQ26" s="900"/>
      <c r="AR26" s="900"/>
      <c r="AS26" s="901"/>
      <c r="AT26" s="901"/>
      <c r="AV26" s="334">
        <v>18</v>
      </c>
      <c r="AW26" s="897"/>
      <c r="AX26" s="898"/>
      <c r="AY26" s="898"/>
      <c r="AZ26" s="898"/>
      <c r="BA26" s="898"/>
      <c r="BB26" s="899"/>
      <c r="BC26" s="900"/>
      <c r="BD26" s="900"/>
      <c r="BE26" s="900"/>
      <c r="BF26" s="900"/>
      <c r="BG26" s="900"/>
      <c r="BH26" s="900"/>
      <c r="BI26" s="900"/>
      <c r="BJ26" s="900"/>
      <c r="BK26" s="900"/>
      <c r="BL26" s="900"/>
      <c r="BM26" s="900"/>
      <c r="BN26" s="900"/>
      <c r="BO26" s="900"/>
      <c r="BP26" s="901"/>
      <c r="BQ26" s="901"/>
      <c r="BS26" s="334">
        <v>10</v>
      </c>
      <c r="BT26" s="897"/>
      <c r="BU26" s="898"/>
      <c r="BV26" s="898"/>
      <c r="BW26" s="898"/>
      <c r="BX26" s="898"/>
      <c r="BY26" s="899"/>
      <c r="BZ26" s="900"/>
      <c r="CA26" s="900"/>
      <c r="CB26" s="900"/>
      <c r="CC26" s="900"/>
      <c r="CD26" s="900"/>
      <c r="CE26" s="900"/>
      <c r="CF26" s="900"/>
      <c r="CG26" s="900"/>
      <c r="CH26" s="900"/>
      <c r="CI26" s="900"/>
      <c r="CJ26" s="900"/>
      <c r="CK26" s="900"/>
      <c r="CL26" s="900"/>
      <c r="CM26" s="901"/>
      <c r="CN26" s="901"/>
    </row>
    <row r="27" spans="2:92" ht="17.100000000000001" customHeight="1">
      <c r="B27" s="333">
        <v>19</v>
      </c>
      <c r="C27" s="902"/>
      <c r="D27" s="903"/>
      <c r="E27" s="903"/>
      <c r="F27" s="903"/>
      <c r="G27" s="903"/>
      <c r="H27" s="904"/>
      <c r="I27" s="905"/>
      <c r="J27" s="905"/>
      <c r="K27" s="905"/>
      <c r="L27" s="905"/>
      <c r="M27" s="905"/>
      <c r="N27" s="905"/>
      <c r="O27" s="905"/>
      <c r="P27" s="905"/>
      <c r="Q27" s="905"/>
      <c r="R27" s="905"/>
      <c r="S27" s="905"/>
      <c r="T27" s="905"/>
      <c r="U27" s="905"/>
      <c r="V27" s="906"/>
      <c r="W27" s="906"/>
      <c r="Y27" s="333">
        <v>11</v>
      </c>
      <c r="Z27" s="902"/>
      <c r="AA27" s="903"/>
      <c r="AB27" s="903"/>
      <c r="AC27" s="903"/>
      <c r="AD27" s="903"/>
      <c r="AE27" s="904"/>
      <c r="AF27" s="905"/>
      <c r="AG27" s="905"/>
      <c r="AH27" s="905"/>
      <c r="AI27" s="905"/>
      <c r="AJ27" s="905"/>
      <c r="AK27" s="905"/>
      <c r="AL27" s="905"/>
      <c r="AM27" s="905"/>
      <c r="AN27" s="905"/>
      <c r="AO27" s="905"/>
      <c r="AP27" s="905"/>
      <c r="AQ27" s="905"/>
      <c r="AR27" s="905"/>
      <c r="AS27" s="906"/>
      <c r="AT27" s="906"/>
      <c r="AV27" s="333">
        <v>19</v>
      </c>
      <c r="AW27" s="902"/>
      <c r="AX27" s="903"/>
      <c r="AY27" s="903"/>
      <c r="AZ27" s="903"/>
      <c r="BA27" s="903"/>
      <c r="BB27" s="904"/>
      <c r="BC27" s="905"/>
      <c r="BD27" s="905"/>
      <c r="BE27" s="905"/>
      <c r="BF27" s="905"/>
      <c r="BG27" s="905"/>
      <c r="BH27" s="905"/>
      <c r="BI27" s="905"/>
      <c r="BJ27" s="905"/>
      <c r="BK27" s="905"/>
      <c r="BL27" s="905"/>
      <c r="BM27" s="905"/>
      <c r="BN27" s="905"/>
      <c r="BO27" s="905"/>
      <c r="BP27" s="906"/>
      <c r="BQ27" s="906"/>
      <c r="BS27" s="333">
        <v>11</v>
      </c>
      <c r="BT27" s="902"/>
      <c r="BU27" s="903"/>
      <c r="BV27" s="903"/>
      <c r="BW27" s="903"/>
      <c r="BX27" s="903"/>
      <c r="BY27" s="904"/>
      <c r="BZ27" s="905"/>
      <c r="CA27" s="905"/>
      <c r="CB27" s="905"/>
      <c r="CC27" s="905"/>
      <c r="CD27" s="905"/>
      <c r="CE27" s="905"/>
      <c r="CF27" s="905"/>
      <c r="CG27" s="905"/>
      <c r="CH27" s="905"/>
      <c r="CI27" s="905"/>
      <c r="CJ27" s="905"/>
      <c r="CK27" s="905"/>
      <c r="CL27" s="905"/>
      <c r="CM27" s="906"/>
      <c r="CN27" s="906"/>
    </row>
    <row r="28" spans="2:92" ht="17.100000000000001" customHeight="1">
      <c r="B28" s="334">
        <v>20</v>
      </c>
      <c r="C28" s="897"/>
      <c r="D28" s="898"/>
      <c r="E28" s="898"/>
      <c r="F28" s="898"/>
      <c r="G28" s="898"/>
      <c r="H28" s="899"/>
      <c r="I28" s="900"/>
      <c r="J28" s="900"/>
      <c r="K28" s="900"/>
      <c r="L28" s="900"/>
      <c r="M28" s="900"/>
      <c r="N28" s="900"/>
      <c r="O28" s="900"/>
      <c r="P28" s="900"/>
      <c r="Q28" s="900"/>
      <c r="R28" s="900"/>
      <c r="S28" s="900"/>
      <c r="T28" s="900"/>
      <c r="U28" s="900"/>
      <c r="V28" s="901"/>
      <c r="W28" s="901"/>
      <c r="Y28" s="334">
        <v>12</v>
      </c>
      <c r="Z28" s="897"/>
      <c r="AA28" s="898"/>
      <c r="AB28" s="898"/>
      <c r="AC28" s="898"/>
      <c r="AD28" s="898"/>
      <c r="AE28" s="899"/>
      <c r="AF28" s="900"/>
      <c r="AG28" s="900"/>
      <c r="AH28" s="900"/>
      <c r="AI28" s="900"/>
      <c r="AJ28" s="900"/>
      <c r="AK28" s="900"/>
      <c r="AL28" s="900"/>
      <c r="AM28" s="900"/>
      <c r="AN28" s="900"/>
      <c r="AO28" s="900"/>
      <c r="AP28" s="900"/>
      <c r="AQ28" s="900"/>
      <c r="AR28" s="900"/>
      <c r="AS28" s="901"/>
      <c r="AT28" s="901"/>
      <c r="AV28" s="334">
        <v>20</v>
      </c>
      <c r="AW28" s="897"/>
      <c r="AX28" s="898"/>
      <c r="AY28" s="898"/>
      <c r="AZ28" s="898"/>
      <c r="BA28" s="898"/>
      <c r="BB28" s="899"/>
      <c r="BC28" s="900"/>
      <c r="BD28" s="900"/>
      <c r="BE28" s="900"/>
      <c r="BF28" s="900"/>
      <c r="BG28" s="900"/>
      <c r="BH28" s="900"/>
      <c r="BI28" s="900"/>
      <c r="BJ28" s="900"/>
      <c r="BK28" s="900"/>
      <c r="BL28" s="900"/>
      <c r="BM28" s="900"/>
      <c r="BN28" s="900"/>
      <c r="BO28" s="900"/>
      <c r="BP28" s="901"/>
      <c r="BQ28" s="901"/>
      <c r="BS28" s="334">
        <v>12</v>
      </c>
      <c r="BT28" s="897"/>
      <c r="BU28" s="898"/>
      <c r="BV28" s="898"/>
      <c r="BW28" s="898"/>
      <c r="BX28" s="898"/>
      <c r="BY28" s="899"/>
      <c r="BZ28" s="900"/>
      <c r="CA28" s="900"/>
      <c r="CB28" s="900"/>
      <c r="CC28" s="900"/>
      <c r="CD28" s="900"/>
      <c r="CE28" s="900"/>
      <c r="CF28" s="900"/>
      <c r="CG28" s="900"/>
      <c r="CH28" s="900"/>
      <c r="CI28" s="900"/>
      <c r="CJ28" s="900"/>
      <c r="CK28" s="900"/>
      <c r="CL28" s="900"/>
      <c r="CM28" s="901"/>
      <c r="CN28" s="901"/>
    </row>
    <row r="29" spans="2:92" ht="17.100000000000001" customHeight="1">
      <c r="B29" s="333">
        <v>21</v>
      </c>
      <c r="C29" s="902"/>
      <c r="D29" s="903"/>
      <c r="E29" s="903"/>
      <c r="F29" s="903"/>
      <c r="G29" s="903"/>
      <c r="H29" s="904"/>
      <c r="I29" s="905"/>
      <c r="J29" s="905"/>
      <c r="K29" s="905"/>
      <c r="L29" s="905"/>
      <c r="M29" s="905"/>
      <c r="N29" s="905"/>
      <c r="O29" s="905"/>
      <c r="P29" s="905"/>
      <c r="Q29" s="905"/>
      <c r="R29" s="905"/>
      <c r="S29" s="905"/>
      <c r="T29" s="905"/>
      <c r="U29" s="905"/>
      <c r="V29" s="906"/>
      <c r="W29" s="906"/>
      <c r="Y29" s="333">
        <v>13</v>
      </c>
      <c r="Z29" s="902"/>
      <c r="AA29" s="903"/>
      <c r="AB29" s="903"/>
      <c r="AC29" s="903"/>
      <c r="AD29" s="903"/>
      <c r="AE29" s="904"/>
      <c r="AF29" s="905"/>
      <c r="AG29" s="905"/>
      <c r="AH29" s="905"/>
      <c r="AI29" s="905"/>
      <c r="AJ29" s="905"/>
      <c r="AK29" s="905"/>
      <c r="AL29" s="905"/>
      <c r="AM29" s="905"/>
      <c r="AN29" s="905"/>
      <c r="AO29" s="905"/>
      <c r="AP29" s="905"/>
      <c r="AQ29" s="905"/>
      <c r="AR29" s="905"/>
      <c r="AS29" s="906"/>
      <c r="AT29" s="906"/>
      <c r="AV29" s="333">
        <v>21</v>
      </c>
      <c r="AW29" s="902"/>
      <c r="AX29" s="903"/>
      <c r="AY29" s="903"/>
      <c r="AZ29" s="903"/>
      <c r="BA29" s="903"/>
      <c r="BB29" s="904"/>
      <c r="BC29" s="905"/>
      <c r="BD29" s="905"/>
      <c r="BE29" s="905"/>
      <c r="BF29" s="905"/>
      <c r="BG29" s="905"/>
      <c r="BH29" s="905"/>
      <c r="BI29" s="905"/>
      <c r="BJ29" s="905"/>
      <c r="BK29" s="905"/>
      <c r="BL29" s="905"/>
      <c r="BM29" s="905"/>
      <c r="BN29" s="905"/>
      <c r="BO29" s="905"/>
      <c r="BP29" s="906"/>
      <c r="BQ29" s="906"/>
      <c r="BS29" s="333">
        <v>13</v>
      </c>
      <c r="BT29" s="902"/>
      <c r="BU29" s="903"/>
      <c r="BV29" s="903"/>
      <c r="BW29" s="903"/>
      <c r="BX29" s="903"/>
      <c r="BY29" s="904"/>
      <c r="BZ29" s="905"/>
      <c r="CA29" s="905"/>
      <c r="CB29" s="905"/>
      <c r="CC29" s="905"/>
      <c r="CD29" s="905"/>
      <c r="CE29" s="905"/>
      <c r="CF29" s="905"/>
      <c r="CG29" s="905"/>
      <c r="CH29" s="905"/>
      <c r="CI29" s="905"/>
      <c r="CJ29" s="905"/>
      <c r="CK29" s="905"/>
      <c r="CL29" s="905"/>
      <c r="CM29" s="906"/>
      <c r="CN29" s="906"/>
    </row>
    <row r="30" spans="2:92" ht="17.100000000000001" customHeight="1">
      <c r="B30" s="334">
        <v>22</v>
      </c>
      <c r="C30" s="897"/>
      <c r="D30" s="898"/>
      <c r="E30" s="898"/>
      <c r="F30" s="898"/>
      <c r="G30" s="898"/>
      <c r="H30" s="899"/>
      <c r="I30" s="900"/>
      <c r="J30" s="900"/>
      <c r="K30" s="900"/>
      <c r="L30" s="900"/>
      <c r="M30" s="900"/>
      <c r="N30" s="900"/>
      <c r="O30" s="900"/>
      <c r="P30" s="900"/>
      <c r="Q30" s="900"/>
      <c r="R30" s="900"/>
      <c r="S30" s="900"/>
      <c r="T30" s="900"/>
      <c r="U30" s="900"/>
      <c r="V30" s="901"/>
      <c r="W30" s="901"/>
      <c r="Y30" s="334">
        <v>14</v>
      </c>
      <c r="Z30" s="897"/>
      <c r="AA30" s="898"/>
      <c r="AB30" s="898"/>
      <c r="AC30" s="898"/>
      <c r="AD30" s="898"/>
      <c r="AE30" s="899"/>
      <c r="AF30" s="900"/>
      <c r="AG30" s="900"/>
      <c r="AH30" s="900"/>
      <c r="AI30" s="900"/>
      <c r="AJ30" s="900"/>
      <c r="AK30" s="900"/>
      <c r="AL30" s="900"/>
      <c r="AM30" s="900"/>
      <c r="AN30" s="900"/>
      <c r="AO30" s="900"/>
      <c r="AP30" s="900"/>
      <c r="AQ30" s="900"/>
      <c r="AR30" s="900"/>
      <c r="AS30" s="901"/>
      <c r="AT30" s="901"/>
      <c r="AV30" s="334">
        <v>22</v>
      </c>
      <c r="AW30" s="897"/>
      <c r="AX30" s="898"/>
      <c r="AY30" s="898"/>
      <c r="AZ30" s="898"/>
      <c r="BA30" s="898"/>
      <c r="BB30" s="899"/>
      <c r="BC30" s="900"/>
      <c r="BD30" s="900"/>
      <c r="BE30" s="900"/>
      <c r="BF30" s="900"/>
      <c r="BG30" s="900"/>
      <c r="BH30" s="900"/>
      <c r="BI30" s="900"/>
      <c r="BJ30" s="900"/>
      <c r="BK30" s="900"/>
      <c r="BL30" s="900"/>
      <c r="BM30" s="900"/>
      <c r="BN30" s="900"/>
      <c r="BO30" s="900"/>
      <c r="BP30" s="901"/>
      <c r="BQ30" s="901"/>
      <c r="BS30" s="334">
        <v>14</v>
      </c>
      <c r="BT30" s="897"/>
      <c r="BU30" s="898"/>
      <c r="BV30" s="898"/>
      <c r="BW30" s="898"/>
      <c r="BX30" s="898"/>
      <c r="BY30" s="899"/>
      <c r="BZ30" s="900"/>
      <c r="CA30" s="900"/>
      <c r="CB30" s="900"/>
      <c r="CC30" s="900"/>
      <c r="CD30" s="900"/>
      <c r="CE30" s="900"/>
      <c r="CF30" s="900"/>
      <c r="CG30" s="900"/>
      <c r="CH30" s="900"/>
      <c r="CI30" s="900"/>
      <c r="CJ30" s="900"/>
      <c r="CK30" s="900"/>
      <c r="CL30" s="900"/>
      <c r="CM30" s="901"/>
      <c r="CN30" s="901"/>
    </row>
    <row r="31" spans="2:92" ht="17.100000000000001" customHeight="1">
      <c r="B31" s="333">
        <v>23</v>
      </c>
      <c r="C31" s="902"/>
      <c r="D31" s="903"/>
      <c r="E31" s="903"/>
      <c r="F31" s="903"/>
      <c r="G31" s="903"/>
      <c r="H31" s="904"/>
      <c r="I31" s="905"/>
      <c r="J31" s="905"/>
      <c r="K31" s="905"/>
      <c r="L31" s="905"/>
      <c r="M31" s="905"/>
      <c r="N31" s="905"/>
      <c r="O31" s="905"/>
      <c r="P31" s="905"/>
      <c r="Q31" s="905"/>
      <c r="R31" s="905"/>
      <c r="S31" s="905"/>
      <c r="T31" s="905"/>
      <c r="U31" s="905"/>
      <c r="V31" s="906"/>
      <c r="W31" s="906"/>
      <c r="Y31" s="333">
        <v>15</v>
      </c>
      <c r="Z31" s="902"/>
      <c r="AA31" s="903"/>
      <c r="AB31" s="903"/>
      <c r="AC31" s="903"/>
      <c r="AD31" s="903"/>
      <c r="AE31" s="904"/>
      <c r="AF31" s="905"/>
      <c r="AG31" s="905"/>
      <c r="AH31" s="905"/>
      <c r="AI31" s="905"/>
      <c r="AJ31" s="905"/>
      <c r="AK31" s="905"/>
      <c r="AL31" s="905"/>
      <c r="AM31" s="905"/>
      <c r="AN31" s="905"/>
      <c r="AO31" s="905"/>
      <c r="AP31" s="905"/>
      <c r="AQ31" s="905"/>
      <c r="AR31" s="905"/>
      <c r="AS31" s="906"/>
      <c r="AT31" s="906"/>
      <c r="AV31" s="333">
        <v>23</v>
      </c>
      <c r="AW31" s="902"/>
      <c r="AX31" s="903"/>
      <c r="AY31" s="903"/>
      <c r="AZ31" s="903"/>
      <c r="BA31" s="903"/>
      <c r="BB31" s="904"/>
      <c r="BC31" s="905"/>
      <c r="BD31" s="905"/>
      <c r="BE31" s="905"/>
      <c r="BF31" s="905"/>
      <c r="BG31" s="905"/>
      <c r="BH31" s="905"/>
      <c r="BI31" s="905"/>
      <c r="BJ31" s="905"/>
      <c r="BK31" s="905"/>
      <c r="BL31" s="905"/>
      <c r="BM31" s="905"/>
      <c r="BN31" s="905"/>
      <c r="BO31" s="905"/>
      <c r="BP31" s="906"/>
      <c r="BQ31" s="906"/>
      <c r="BS31" s="333">
        <v>15</v>
      </c>
      <c r="BT31" s="902"/>
      <c r="BU31" s="903"/>
      <c r="BV31" s="903"/>
      <c r="BW31" s="903"/>
      <c r="BX31" s="903"/>
      <c r="BY31" s="904"/>
      <c r="BZ31" s="905"/>
      <c r="CA31" s="905"/>
      <c r="CB31" s="905"/>
      <c r="CC31" s="905"/>
      <c r="CD31" s="905"/>
      <c r="CE31" s="905"/>
      <c r="CF31" s="905"/>
      <c r="CG31" s="905"/>
      <c r="CH31" s="905"/>
      <c r="CI31" s="905"/>
      <c r="CJ31" s="905"/>
      <c r="CK31" s="905"/>
      <c r="CL31" s="905"/>
      <c r="CM31" s="906"/>
      <c r="CN31" s="906"/>
    </row>
    <row r="32" spans="2:92" ht="17.100000000000001" customHeight="1">
      <c r="B32" s="334">
        <v>24</v>
      </c>
      <c r="C32" s="897"/>
      <c r="D32" s="898"/>
      <c r="E32" s="898"/>
      <c r="F32" s="898"/>
      <c r="G32" s="898"/>
      <c r="H32" s="899"/>
      <c r="I32" s="900"/>
      <c r="J32" s="900"/>
      <c r="K32" s="900"/>
      <c r="L32" s="900"/>
      <c r="M32" s="900"/>
      <c r="N32" s="900"/>
      <c r="O32" s="900"/>
      <c r="P32" s="900"/>
      <c r="Q32" s="900"/>
      <c r="R32" s="900"/>
      <c r="S32" s="900"/>
      <c r="T32" s="900"/>
      <c r="U32" s="900"/>
      <c r="V32" s="901"/>
      <c r="W32" s="901"/>
      <c r="AV32" s="334">
        <v>24</v>
      </c>
      <c r="AW32" s="897"/>
      <c r="AX32" s="898"/>
      <c r="AY32" s="898"/>
      <c r="AZ32" s="898"/>
      <c r="BA32" s="898"/>
      <c r="BB32" s="899"/>
      <c r="BC32" s="900"/>
      <c r="BD32" s="900"/>
      <c r="BE32" s="900"/>
      <c r="BF32" s="900"/>
      <c r="BG32" s="900"/>
      <c r="BH32" s="900"/>
      <c r="BI32" s="900"/>
      <c r="BJ32" s="900"/>
      <c r="BK32" s="900"/>
      <c r="BL32" s="900"/>
      <c r="BM32" s="900"/>
      <c r="BN32" s="900"/>
      <c r="BO32" s="900"/>
      <c r="BP32" s="901"/>
      <c r="BQ32" s="901"/>
    </row>
    <row r="33" spans="2:69" ht="17.100000000000001" customHeight="1">
      <c r="B33" s="333">
        <v>25</v>
      </c>
      <c r="C33" s="902"/>
      <c r="D33" s="903"/>
      <c r="E33" s="903"/>
      <c r="F33" s="903"/>
      <c r="G33" s="903"/>
      <c r="H33" s="904"/>
      <c r="I33" s="905"/>
      <c r="J33" s="905"/>
      <c r="K33" s="905"/>
      <c r="L33" s="905"/>
      <c r="M33" s="905"/>
      <c r="N33" s="905"/>
      <c r="O33" s="905"/>
      <c r="P33" s="905"/>
      <c r="Q33" s="905"/>
      <c r="R33" s="905"/>
      <c r="S33" s="905"/>
      <c r="T33" s="905"/>
      <c r="U33" s="905"/>
      <c r="V33" s="906"/>
      <c r="W33" s="906"/>
      <c r="AV33" s="333">
        <v>25</v>
      </c>
      <c r="AW33" s="902"/>
      <c r="AX33" s="903"/>
      <c r="AY33" s="903"/>
      <c r="AZ33" s="903"/>
      <c r="BA33" s="903"/>
      <c r="BB33" s="904"/>
      <c r="BC33" s="905"/>
      <c r="BD33" s="905"/>
      <c r="BE33" s="905"/>
      <c r="BF33" s="905"/>
      <c r="BG33" s="905"/>
      <c r="BH33" s="905"/>
      <c r="BI33" s="905"/>
      <c r="BJ33" s="905"/>
      <c r="BK33" s="905"/>
      <c r="BL33" s="905"/>
      <c r="BM33" s="905"/>
      <c r="BN33" s="905"/>
      <c r="BO33" s="905"/>
      <c r="BP33" s="906"/>
      <c r="BQ33" s="906"/>
    </row>
    <row r="34" spans="2:69" ht="17.100000000000001" customHeight="1">
      <c r="B34" s="334">
        <v>26</v>
      </c>
      <c r="C34" s="897"/>
      <c r="D34" s="898"/>
      <c r="E34" s="898"/>
      <c r="F34" s="898"/>
      <c r="G34" s="898"/>
      <c r="H34" s="899"/>
      <c r="I34" s="900"/>
      <c r="J34" s="900"/>
      <c r="K34" s="900"/>
      <c r="L34" s="900"/>
      <c r="M34" s="900"/>
      <c r="N34" s="900"/>
      <c r="O34" s="900"/>
      <c r="P34" s="900"/>
      <c r="Q34" s="900"/>
      <c r="R34" s="900"/>
      <c r="S34" s="900"/>
      <c r="T34" s="900"/>
      <c r="U34" s="900"/>
      <c r="V34" s="901"/>
      <c r="W34" s="901"/>
      <c r="AV34" s="334">
        <v>26</v>
      </c>
      <c r="AW34" s="897"/>
      <c r="AX34" s="898"/>
      <c r="AY34" s="898"/>
      <c r="AZ34" s="898"/>
      <c r="BA34" s="898"/>
      <c r="BB34" s="899"/>
      <c r="BC34" s="900"/>
      <c r="BD34" s="900"/>
      <c r="BE34" s="900"/>
      <c r="BF34" s="900"/>
      <c r="BG34" s="900"/>
      <c r="BH34" s="900"/>
      <c r="BI34" s="900"/>
      <c r="BJ34" s="900"/>
      <c r="BK34" s="900"/>
      <c r="BL34" s="900"/>
      <c r="BM34" s="900"/>
      <c r="BN34" s="900"/>
      <c r="BO34" s="900"/>
      <c r="BP34" s="901"/>
      <c r="BQ34" s="901"/>
    </row>
    <row r="35" spans="2:69" ht="17.100000000000001" customHeight="1">
      <c r="B35" s="333">
        <v>27</v>
      </c>
      <c r="C35" s="902"/>
      <c r="D35" s="903"/>
      <c r="E35" s="903"/>
      <c r="F35" s="903"/>
      <c r="G35" s="903"/>
      <c r="H35" s="904"/>
      <c r="I35" s="905"/>
      <c r="J35" s="905"/>
      <c r="K35" s="905"/>
      <c r="L35" s="905"/>
      <c r="M35" s="905"/>
      <c r="N35" s="905"/>
      <c r="O35" s="905"/>
      <c r="P35" s="905"/>
      <c r="Q35" s="905"/>
      <c r="R35" s="905"/>
      <c r="S35" s="905"/>
      <c r="T35" s="905"/>
      <c r="U35" s="905"/>
      <c r="V35" s="906"/>
      <c r="W35" s="906"/>
      <c r="AV35" s="333">
        <v>27</v>
      </c>
      <c r="AW35" s="902"/>
      <c r="AX35" s="903"/>
      <c r="AY35" s="903"/>
      <c r="AZ35" s="903"/>
      <c r="BA35" s="903"/>
      <c r="BB35" s="904"/>
      <c r="BC35" s="905"/>
      <c r="BD35" s="905"/>
      <c r="BE35" s="905"/>
      <c r="BF35" s="905"/>
      <c r="BG35" s="905"/>
      <c r="BH35" s="905"/>
      <c r="BI35" s="905"/>
      <c r="BJ35" s="905"/>
      <c r="BK35" s="905"/>
      <c r="BL35" s="905"/>
      <c r="BM35" s="905"/>
      <c r="BN35" s="905"/>
      <c r="BO35" s="905"/>
      <c r="BP35" s="906"/>
      <c r="BQ35" s="906"/>
    </row>
    <row r="36" spans="2:69" ht="17.100000000000001" customHeight="1">
      <c r="B36" s="334">
        <v>28</v>
      </c>
      <c r="C36" s="897"/>
      <c r="D36" s="898"/>
      <c r="E36" s="898"/>
      <c r="F36" s="898"/>
      <c r="G36" s="898"/>
      <c r="H36" s="899"/>
      <c r="I36" s="900"/>
      <c r="J36" s="900"/>
      <c r="K36" s="900"/>
      <c r="L36" s="900"/>
      <c r="M36" s="900"/>
      <c r="N36" s="900"/>
      <c r="O36" s="900"/>
      <c r="P36" s="900"/>
      <c r="Q36" s="900"/>
      <c r="R36" s="900"/>
      <c r="S36" s="900"/>
      <c r="T36" s="900"/>
      <c r="U36" s="900"/>
      <c r="V36" s="901"/>
      <c r="W36" s="901"/>
      <c r="AV36" s="334">
        <v>28</v>
      </c>
      <c r="AW36" s="897"/>
      <c r="AX36" s="898"/>
      <c r="AY36" s="898"/>
      <c r="AZ36" s="898"/>
      <c r="BA36" s="898"/>
      <c r="BB36" s="899"/>
      <c r="BC36" s="900"/>
      <c r="BD36" s="900"/>
      <c r="BE36" s="900"/>
      <c r="BF36" s="900"/>
      <c r="BG36" s="900"/>
      <c r="BH36" s="900"/>
      <c r="BI36" s="900"/>
      <c r="BJ36" s="900"/>
      <c r="BK36" s="900"/>
      <c r="BL36" s="900"/>
      <c r="BM36" s="900"/>
      <c r="BN36" s="900"/>
      <c r="BO36" s="900"/>
      <c r="BP36" s="901"/>
      <c r="BQ36" s="901"/>
    </row>
    <row r="37" spans="2:69" ht="17.100000000000001" customHeight="1">
      <c r="B37" s="333">
        <v>29</v>
      </c>
      <c r="C37" s="902"/>
      <c r="D37" s="903"/>
      <c r="E37" s="903"/>
      <c r="F37" s="903"/>
      <c r="G37" s="903"/>
      <c r="H37" s="904"/>
      <c r="I37" s="905"/>
      <c r="J37" s="905"/>
      <c r="K37" s="905"/>
      <c r="L37" s="905"/>
      <c r="M37" s="905"/>
      <c r="N37" s="905"/>
      <c r="O37" s="905"/>
      <c r="P37" s="905"/>
      <c r="Q37" s="905"/>
      <c r="R37" s="905"/>
      <c r="S37" s="905"/>
      <c r="T37" s="905"/>
      <c r="U37" s="905"/>
      <c r="V37" s="906"/>
      <c r="W37" s="906"/>
      <c r="AV37" s="333">
        <v>29</v>
      </c>
      <c r="AW37" s="902"/>
      <c r="AX37" s="903"/>
      <c r="AY37" s="903"/>
      <c r="AZ37" s="903"/>
      <c r="BA37" s="903"/>
      <c r="BB37" s="904"/>
      <c r="BC37" s="905"/>
      <c r="BD37" s="905"/>
      <c r="BE37" s="905"/>
      <c r="BF37" s="905"/>
      <c r="BG37" s="905"/>
      <c r="BH37" s="905"/>
      <c r="BI37" s="905"/>
      <c r="BJ37" s="905"/>
      <c r="BK37" s="905"/>
      <c r="BL37" s="905"/>
      <c r="BM37" s="905"/>
      <c r="BN37" s="905"/>
      <c r="BO37" s="905"/>
      <c r="BP37" s="906"/>
      <c r="BQ37" s="906"/>
    </row>
    <row r="38" spans="2:69" ht="17.100000000000001" customHeight="1">
      <c r="B38" s="334">
        <v>30</v>
      </c>
      <c r="C38" s="897"/>
      <c r="D38" s="898"/>
      <c r="E38" s="898"/>
      <c r="F38" s="898"/>
      <c r="G38" s="898"/>
      <c r="H38" s="899"/>
      <c r="I38" s="900"/>
      <c r="J38" s="900"/>
      <c r="K38" s="900"/>
      <c r="L38" s="900"/>
      <c r="M38" s="900"/>
      <c r="N38" s="900"/>
      <c r="O38" s="900"/>
      <c r="P38" s="900"/>
      <c r="Q38" s="900"/>
      <c r="R38" s="900"/>
      <c r="S38" s="900"/>
      <c r="T38" s="900"/>
      <c r="U38" s="900"/>
      <c r="V38" s="901"/>
      <c r="W38" s="901"/>
      <c r="AV38" s="334">
        <v>30</v>
      </c>
      <c r="AW38" s="897"/>
      <c r="AX38" s="898"/>
      <c r="AY38" s="898"/>
      <c r="AZ38" s="898"/>
      <c r="BA38" s="898"/>
      <c r="BB38" s="899"/>
      <c r="BC38" s="900"/>
      <c r="BD38" s="900"/>
      <c r="BE38" s="900"/>
      <c r="BF38" s="900"/>
      <c r="BG38" s="900"/>
      <c r="BH38" s="900"/>
      <c r="BI38" s="900"/>
      <c r="BJ38" s="900"/>
      <c r="BK38" s="900"/>
      <c r="BL38" s="900"/>
      <c r="BM38" s="900"/>
      <c r="BN38" s="900"/>
      <c r="BO38" s="900"/>
      <c r="BP38" s="901"/>
      <c r="BQ38" s="901"/>
    </row>
    <row r="39" spans="2:69" ht="17.100000000000001" customHeight="1">
      <c r="B39" s="333">
        <v>31</v>
      </c>
      <c r="C39" s="902"/>
      <c r="D39" s="903"/>
      <c r="E39" s="903"/>
      <c r="F39" s="903"/>
      <c r="G39" s="903"/>
      <c r="H39" s="904"/>
      <c r="I39" s="905"/>
      <c r="J39" s="905"/>
      <c r="K39" s="905"/>
      <c r="L39" s="905"/>
      <c r="M39" s="905"/>
      <c r="N39" s="905"/>
      <c r="O39" s="905"/>
      <c r="P39" s="905"/>
      <c r="Q39" s="905"/>
      <c r="R39" s="905"/>
      <c r="S39" s="905"/>
      <c r="T39" s="905"/>
      <c r="U39" s="905"/>
      <c r="V39" s="906"/>
      <c r="W39" s="906"/>
      <c r="AV39" s="333">
        <v>31</v>
      </c>
      <c r="AW39" s="902"/>
      <c r="AX39" s="903"/>
      <c r="AY39" s="903"/>
      <c r="AZ39" s="903"/>
      <c r="BA39" s="903"/>
      <c r="BB39" s="904"/>
      <c r="BC39" s="905"/>
      <c r="BD39" s="905"/>
      <c r="BE39" s="905"/>
      <c r="BF39" s="905"/>
      <c r="BG39" s="905"/>
      <c r="BH39" s="905"/>
      <c r="BI39" s="905"/>
      <c r="BJ39" s="905"/>
      <c r="BK39" s="905"/>
      <c r="BL39" s="905"/>
      <c r="BM39" s="905"/>
      <c r="BN39" s="905"/>
      <c r="BO39" s="905"/>
      <c r="BP39" s="906"/>
      <c r="BQ39" s="906"/>
    </row>
    <row r="40" spans="2:69" ht="17.100000000000001" customHeight="1">
      <c r="B40" s="334">
        <v>32</v>
      </c>
      <c r="C40" s="897"/>
      <c r="D40" s="898"/>
      <c r="E40" s="898"/>
      <c r="F40" s="898"/>
      <c r="G40" s="898"/>
      <c r="H40" s="899"/>
      <c r="I40" s="900"/>
      <c r="J40" s="900"/>
      <c r="K40" s="900"/>
      <c r="L40" s="900"/>
      <c r="M40" s="900"/>
      <c r="N40" s="900"/>
      <c r="O40" s="900"/>
      <c r="P40" s="900"/>
      <c r="Q40" s="900"/>
      <c r="R40" s="900"/>
      <c r="S40" s="900"/>
      <c r="T40" s="900"/>
      <c r="U40" s="900"/>
      <c r="V40" s="901"/>
      <c r="W40" s="901"/>
      <c r="AV40" s="334">
        <v>32</v>
      </c>
      <c r="AW40" s="897"/>
      <c r="AX40" s="898"/>
      <c r="AY40" s="898"/>
      <c r="AZ40" s="898"/>
      <c r="BA40" s="898"/>
      <c r="BB40" s="899"/>
      <c r="BC40" s="900"/>
      <c r="BD40" s="900"/>
      <c r="BE40" s="900"/>
      <c r="BF40" s="900"/>
      <c r="BG40" s="900"/>
      <c r="BH40" s="900"/>
      <c r="BI40" s="900"/>
      <c r="BJ40" s="900"/>
      <c r="BK40" s="900"/>
      <c r="BL40" s="900"/>
      <c r="BM40" s="900"/>
      <c r="BN40" s="900"/>
      <c r="BO40" s="900"/>
      <c r="BP40" s="901"/>
      <c r="BQ40" s="901"/>
    </row>
    <row r="41" spans="2:69" ht="17.100000000000001" customHeight="1">
      <c r="B41" s="333">
        <v>33</v>
      </c>
      <c r="C41" s="902"/>
      <c r="D41" s="903"/>
      <c r="E41" s="903"/>
      <c r="F41" s="903"/>
      <c r="G41" s="903"/>
      <c r="H41" s="904"/>
      <c r="I41" s="905"/>
      <c r="J41" s="905"/>
      <c r="K41" s="905"/>
      <c r="L41" s="905"/>
      <c r="M41" s="905"/>
      <c r="N41" s="905"/>
      <c r="O41" s="905"/>
      <c r="P41" s="905"/>
      <c r="Q41" s="905"/>
      <c r="R41" s="905"/>
      <c r="S41" s="905"/>
      <c r="T41" s="905"/>
      <c r="U41" s="905"/>
      <c r="V41" s="906"/>
      <c r="W41" s="906"/>
      <c r="AV41" s="333">
        <v>33</v>
      </c>
      <c r="AW41" s="902"/>
      <c r="AX41" s="903"/>
      <c r="AY41" s="903"/>
      <c r="AZ41" s="903"/>
      <c r="BA41" s="903"/>
      <c r="BB41" s="904"/>
      <c r="BC41" s="905"/>
      <c r="BD41" s="905"/>
      <c r="BE41" s="905"/>
      <c r="BF41" s="905"/>
      <c r="BG41" s="905"/>
      <c r="BH41" s="905"/>
      <c r="BI41" s="905"/>
      <c r="BJ41" s="905"/>
      <c r="BK41" s="905"/>
      <c r="BL41" s="905"/>
      <c r="BM41" s="905"/>
      <c r="BN41" s="905"/>
      <c r="BO41" s="905"/>
      <c r="BP41" s="906"/>
      <c r="BQ41" s="906"/>
    </row>
    <row r="42" spans="2:69" ht="17.100000000000001" customHeight="1">
      <c r="B42" s="334">
        <v>34</v>
      </c>
      <c r="C42" s="897"/>
      <c r="D42" s="898"/>
      <c r="E42" s="898"/>
      <c r="F42" s="898"/>
      <c r="G42" s="898"/>
      <c r="H42" s="899"/>
      <c r="I42" s="900"/>
      <c r="J42" s="900"/>
      <c r="K42" s="900"/>
      <c r="L42" s="900"/>
      <c r="M42" s="900"/>
      <c r="N42" s="900"/>
      <c r="O42" s="900"/>
      <c r="P42" s="900"/>
      <c r="Q42" s="900"/>
      <c r="R42" s="900"/>
      <c r="S42" s="900"/>
      <c r="T42" s="900"/>
      <c r="U42" s="900"/>
      <c r="V42" s="901"/>
      <c r="W42" s="901"/>
      <c r="AV42" s="334">
        <v>34</v>
      </c>
      <c r="AW42" s="897"/>
      <c r="AX42" s="898"/>
      <c r="AY42" s="898"/>
      <c r="AZ42" s="898"/>
      <c r="BA42" s="898"/>
      <c r="BB42" s="899"/>
      <c r="BC42" s="900"/>
      <c r="BD42" s="900"/>
      <c r="BE42" s="900"/>
      <c r="BF42" s="900"/>
      <c r="BG42" s="900"/>
      <c r="BH42" s="900"/>
      <c r="BI42" s="900"/>
      <c r="BJ42" s="900"/>
      <c r="BK42" s="900"/>
      <c r="BL42" s="900"/>
      <c r="BM42" s="900"/>
      <c r="BN42" s="900"/>
      <c r="BO42" s="900"/>
      <c r="BP42" s="901"/>
      <c r="BQ42" s="901"/>
    </row>
    <row r="43" spans="2:69" ht="17.100000000000001" customHeight="1">
      <c r="B43" s="333">
        <v>35</v>
      </c>
      <c r="C43" s="902"/>
      <c r="D43" s="903"/>
      <c r="E43" s="903"/>
      <c r="F43" s="903"/>
      <c r="G43" s="903"/>
      <c r="H43" s="904"/>
      <c r="I43" s="905"/>
      <c r="J43" s="905"/>
      <c r="K43" s="905"/>
      <c r="L43" s="905"/>
      <c r="M43" s="905"/>
      <c r="N43" s="905"/>
      <c r="O43" s="905"/>
      <c r="P43" s="905"/>
      <c r="Q43" s="905"/>
      <c r="R43" s="905"/>
      <c r="S43" s="905"/>
      <c r="T43" s="905"/>
      <c r="U43" s="905"/>
      <c r="V43" s="906"/>
      <c r="W43" s="906"/>
      <c r="AV43" s="333">
        <v>35</v>
      </c>
      <c r="AW43" s="902"/>
      <c r="AX43" s="903"/>
      <c r="AY43" s="903"/>
      <c r="AZ43" s="903"/>
      <c r="BA43" s="903"/>
      <c r="BB43" s="904"/>
      <c r="BC43" s="905"/>
      <c r="BD43" s="905"/>
      <c r="BE43" s="905"/>
      <c r="BF43" s="905"/>
      <c r="BG43" s="905"/>
      <c r="BH43" s="905"/>
      <c r="BI43" s="905"/>
      <c r="BJ43" s="905"/>
      <c r="BK43" s="905"/>
      <c r="BL43" s="905"/>
      <c r="BM43" s="905"/>
      <c r="BN43" s="905"/>
      <c r="BO43" s="905"/>
      <c r="BP43" s="906"/>
      <c r="BQ43" s="906"/>
    </row>
    <row r="44" spans="2:69" ht="17.100000000000001" customHeight="1">
      <c r="B44" s="334">
        <v>36</v>
      </c>
      <c r="C44" s="897"/>
      <c r="D44" s="898"/>
      <c r="E44" s="898"/>
      <c r="F44" s="898"/>
      <c r="G44" s="898"/>
      <c r="H44" s="899"/>
      <c r="I44" s="900"/>
      <c r="J44" s="900"/>
      <c r="K44" s="900"/>
      <c r="L44" s="900"/>
      <c r="M44" s="900"/>
      <c r="N44" s="900"/>
      <c r="O44" s="900"/>
      <c r="P44" s="900"/>
      <c r="Q44" s="900"/>
      <c r="R44" s="900"/>
      <c r="S44" s="900"/>
      <c r="T44" s="900"/>
      <c r="U44" s="900"/>
      <c r="V44" s="901"/>
      <c r="W44" s="901"/>
      <c r="AV44" s="334">
        <v>36</v>
      </c>
      <c r="AW44" s="897"/>
      <c r="AX44" s="898"/>
      <c r="AY44" s="898"/>
      <c r="AZ44" s="898"/>
      <c r="BA44" s="898"/>
      <c r="BB44" s="899"/>
      <c r="BC44" s="900"/>
      <c r="BD44" s="900"/>
      <c r="BE44" s="900"/>
      <c r="BF44" s="900"/>
      <c r="BG44" s="900"/>
      <c r="BH44" s="900"/>
      <c r="BI44" s="900"/>
      <c r="BJ44" s="900"/>
      <c r="BK44" s="900"/>
      <c r="BL44" s="900"/>
      <c r="BM44" s="900"/>
      <c r="BN44" s="900"/>
      <c r="BO44" s="900"/>
      <c r="BP44" s="901"/>
      <c r="BQ44" s="901"/>
    </row>
    <row r="45" spans="2:69" ht="17.100000000000001" customHeight="1">
      <c r="B45" s="333">
        <v>37</v>
      </c>
      <c r="C45" s="902"/>
      <c r="D45" s="903"/>
      <c r="E45" s="903"/>
      <c r="F45" s="903"/>
      <c r="G45" s="903"/>
      <c r="H45" s="904"/>
      <c r="I45" s="905"/>
      <c r="J45" s="905"/>
      <c r="K45" s="905"/>
      <c r="L45" s="905"/>
      <c r="M45" s="905"/>
      <c r="N45" s="905"/>
      <c r="O45" s="905"/>
      <c r="P45" s="905"/>
      <c r="Q45" s="905"/>
      <c r="R45" s="905"/>
      <c r="S45" s="905"/>
      <c r="T45" s="905"/>
      <c r="U45" s="905"/>
      <c r="V45" s="906"/>
      <c r="W45" s="906"/>
      <c r="AV45" s="333">
        <v>37</v>
      </c>
      <c r="AW45" s="902"/>
      <c r="AX45" s="903"/>
      <c r="AY45" s="903"/>
      <c r="AZ45" s="903"/>
      <c r="BA45" s="903"/>
      <c r="BB45" s="904"/>
      <c r="BC45" s="905"/>
      <c r="BD45" s="905"/>
      <c r="BE45" s="905"/>
      <c r="BF45" s="905"/>
      <c r="BG45" s="905"/>
      <c r="BH45" s="905"/>
      <c r="BI45" s="905"/>
      <c r="BJ45" s="905"/>
      <c r="BK45" s="905"/>
      <c r="BL45" s="905"/>
      <c r="BM45" s="905"/>
      <c r="BN45" s="905"/>
      <c r="BO45" s="905"/>
      <c r="BP45" s="906"/>
      <c r="BQ45" s="906"/>
    </row>
    <row r="46" spans="2:69" ht="17.100000000000001" customHeight="1">
      <c r="B46" s="334">
        <v>38</v>
      </c>
      <c r="C46" s="897"/>
      <c r="D46" s="898"/>
      <c r="E46" s="898"/>
      <c r="F46" s="898"/>
      <c r="G46" s="898"/>
      <c r="H46" s="899"/>
      <c r="I46" s="900"/>
      <c r="J46" s="900"/>
      <c r="K46" s="900"/>
      <c r="L46" s="900"/>
      <c r="M46" s="900"/>
      <c r="N46" s="900"/>
      <c r="O46" s="900"/>
      <c r="P46" s="900"/>
      <c r="Q46" s="900"/>
      <c r="R46" s="900"/>
      <c r="S46" s="900"/>
      <c r="T46" s="900"/>
      <c r="U46" s="900"/>
      <c r="V46" s="901"/>
      <c r="W46" s="901"/>
      <c r="AV46" s="334">
        <v>38</v>
      </c>
      <c r="AW46" s="897"/>
      <c r="AX46" s="898"/>
      <c r="AY46" s="898"/>
      <c r="AZ46" s="898"/>
      <c r="BA46" s="898"/>
      <c r="BB46" s="899"/>
      <c r="BC46" s="900"/>
      <c r="BD46" s="900"/>
      <c r="BE46" s="900"/>
      <c r="BF46" s="900"/>
      <c r="BG46" s="900"/>
      <c r="BH46" s="900"/>
      <c r="BI46" s="900"/>
      <c r="BJ46" s="900"/>
      <c r="BK46" s="900"/>
      <c r="BL46" s="900"/>
      <c r="BM46" s="900"/>
      <c r="BN46" s="900"/>
      <c r="BO46" s="900"/>
      <c r="BP46" s="901"/>
      <c r="BQ46" s="901"/>
    </row>
    <row r="47" spans="2:69" ht="17.100000000000001" customHeight="1">
      <c r="B47" s="333">
        <v>39</v>
      </c>
      <c r="C47" s="902"/>
      <c r="D47" s="903"/>
      <c r="E47" s="903"/>
      <c r="F47" s="903"/>
      <c r="G47" s="903"/>
      <c r="H47" s="904"/>
      <c r="I47" s="905"/>
      <c r="J47" s="905"/>
      <c r="K47" s="905"/>
      <c r="L47" s="905"/>
      <c r="M47" s="905"/>
      <c r="N47" s="905"/>
      <c r="O47" s="905"/>
      <c r="P47" s="905"/>
      <c r="Q47" s="905"/>
      <c r="R47" s="905"/>
      <c r="S47" s="905"/>
      <c r="T47" s="905"/>
      <c r="U47" s="905"/>
      <c r="V47" s="906"/>
      <c r="W47" s="906"/>
      <c r="AV47" s="333">
        <v>39</v>
      </c>
      <c r="AW47" s="902"/>
      <c r="AX47" s="903"/>
      <c r="AY47" s="903"/>
      <c r="AZ47" s="903"/>
      <c r="BA47" s="903"/>
      <c r="BB47" s="904"/>
      <c r="BC47" s="905"/>
      <c r="BD47" s="905"/>
      <c r="BE47" s="905"/>
      <c r="BF47" s="905"/>
      <c r="BG47" s="905"/>
      <c r="BH47" s="905"/>
      <c r="BI47" s="905"/>
      <c r="BJ47" s="905"/>
      <c r="BK47" s="905"/>
      <c r="BL47" s="905"/>
      <c r="BM47" s="905"/>
      <c r="BN47" s="905"/>
      <c r="BO47" s="905"/>
      <c r="BP47" s="906"/>
      <c r="BQ47" s="906"/>
    </row>
    <row r="48" spans="2:69" ht="17.100000000000001" customHeight="1">
      <c r="B48" s="334">
        <v>40</v>
      </c>
      <c r="C48" s="897"/>
      <c r="D48" s="898"/>
      <c r="E48" s="898"/>
      <c r="F48" s="898"/>
      <c r="G48" s="898"/>
      <c r="H48" s="899"/>
      <c r="I48" s="900"/>
      <c r="J48" s="900"/>
      <c r="K48" s="900"/>
      <c r="L48" s="900"/>
      <c r="M48" s="900"/>
      <c r="N48" s="900"/>
      <c r="O48" s="900"/>
      <c r="P48" s="900"/>
      <c r="Q48" s="900"/>
      <c r="R48" s="900"/>
      <c r="S48" s="900"/>
      <c r="T48" s="900"/>
      <c r="U48" s="900"/>
      <c r="V48" s="901"/>
      <c r="W48" s="901"/>
      <c r="AV48" s="334">
        <v>40</v>
      </c>
      <c r="AW48" s="897"/>
      <c r="AX48" s="898"/>
      <c r="AY48" s="898"/>
      <c r="AZ48" s="898"/>
      <c r="BA48" s="898"/>
      <c r="BB48" s="899"/>
      <c r="BC48" s="900"/>
      <c r="BD48" s="900"/>
      <c r="BE48" s="900"/>
      <c r="BF48" s="900"/>
      <c r="BG48" s="900"/>
      <c r="BH48" s="900"/>
      <c r="BI48" s="900"/>
      <c r="BJ48" s="900"/>
      <c r="BK48" s="900"/>
      <c r="BL48" s="900"/>
      <c r="BM48" s="900"/>
      <c r="BN48" s="900"/>
      <c r="BO48" s="900"/>
      <c r="BP48" s="901"/>
      <c r="BQ48" s="901"/>
    </row>
    <row r="49" spans="2:69" ht="17.100000000000001" customHeight="1">
      <c r="B49" s="333">
        <v>41</v>
      </c>
      <c r="C49" s="902"/>
      <c r="D49" s="903"/>
      <c r="E49" s="903"/>
      <c r="F49" s="903"/>
      <c r="G49" s="903"/>
      <c r="H49" s="904"/>
      <c r="I49" s="905"/>
      <c r="J49" s="905"/>
      <c r="K49" s="905"/>
      <c r="L49" s="905"/>
      <c r="M49" s="905"/>
      <c r="N49" s="905"/>
      <c r="O49" s="905"/>
      <c r="P49" s="905"/>
      <c r="Q49" s="905"/>
      <c r="R49" s="905"/>
      <c r="S49" s="905"/>
      <c r="T49" s="905"/>
      <c r="U49" s="905"/>
      <c r="V49" s="906"/>
      <c r="W49" s="906"/>
      <c r="AV49" s="333">
        <v>41</v>
      </c>
      <c r="AW49" s="902"/>
      <c r="AX49" s="903"/>
      <c r="AY49" s="903"/>
      <c r="AZ49" s="903"/>
      <c r="BA49" s="903"/>
      <c r="BB49" s="904"/>
      <c r="BC49" s="905"/>
      <c r="BD49" s="905"/>
      <c r="BE49" s="905"/>
      <c r="BF49" s="905"/>
      <c r="BG49" s="905"/>
      <c r="BH49" s="905"/>
      <c r="BI49" s="905"/>
      <c r="BJ49" s="905"/>
      <c r="BK49" s="905"/>
      <c r="BL49" s="905"/>
      <c r="BM49" s="905"/>
      <c r="BN49" s="905"/>
      <c r="BO49" s="905"/>
      <c r="BP49" s="906"/>
      <c r="BQ49" s="906"/>
    </row>
    <row r="50" spans="2:69" ht="17.100000000000001" customHeight="1">
      <c r="B50" s="334">
        <v>42</v>
      </c>
      <c r="C50" s="897"/>
      <c r="D50" s="898"/>
      <c r="E50" s="898"/>
      <c r="F50" s="898"/>
      <c r="G50" s="898"/>
      <c r="H50" s="899"/>
      <c r="I50" s="900"/>
      <c r="J50" s="900"/>
      <c r="K50" s="900"/>
      <c r="L50" s="900"/>
      <c r="M50" s="900"/>
      <c r="N50" s="900"/>
      <c r="O50" s="900"/>
      <c r="P50" s="900"/>
      <c r="Q50" s="900"/>
      <c r="R50" s="900"/>
      <c r="S50" s="900"/>
      <c r="T50" s="900"/>
      <c r="U50" s="900"/>
      <c r="V50" s="901"/>
      <c r="W50" s="901"/>
      <c r="AV50" s="334">
        <v>42</v>
      </c>
      <c r="AW50" s="897"/>
      <c r="AX50" s="898"/>
      <c r="AY50" s="898"/>
      <c r="AZ50" s="898"/>
      <c r="BA50" s="898"/>
      <c r="BB50" s="899"/>
      <c r="BC50" s="900"/>
      <c r="BD50" s="900"/>
      <c r="BE50" s="900"/>
      <c r="BF50" s="900"/>
      <c r="BG50" s="900"/>
      <c r="BH50" s="900"/>
      <c r="BI50" s="900"/>
      <c r="BJ50" s="900"/>
      <c r="BK50" s="900"/>
      <c r="BL50" s="900"/>
      <c r="BM50" s="900"/>
      <c r="BN50" s="900"/>
      <c r="BO50" s="900"/>
      <c r="BP50" s="901"/>
      <c r="BQ50" s="901"/>
    </row>
    <row r="51" spans="2:69" ht="17.100000000000001" customHeight="1">
      <c r="B51" s="333">
        <v>43</v>
      </c>
      <c r="C51" s="902"/>
      <c r="D51" s="903"/>
      <c r="E51" s="903"/>
      <c r="F51" s="903"/>
      <c r="G51" s="903"/>
      <c r="H51" s="904"/>
      <c r="I51" s="905"/>
      <c r="J51" s="905"/>
      <c r="K51" s="905"/>
      <c r="L51" s="905"/>
      <c r="M51" s="905"/>
      <c r="N51" s="905"/>
      <c r="O51" s="905"/>
      <c r="P51" s="905"/>
      <c r="Q51" s="905"/>
      <c r="R51" s="905"/>
      <c r="S51" s="905"/>
      <c r="T51" s="905"/>
      <c r="U51" s="905"/>
      <c r="V51" s="906"/>
      <c r="W51" s="906"/>
      <c r="AV51" s="333">
        <v>43</v>
      </c>
      <c r="AW51" s="902"/>
      <c r="AX51" s="903"/>
      <c r="AY51" s="903"/>
      <c r="AZ51" s="903"/>
      <c r="BA51" s="903"/>
      <c r="BB51" s="904"/>
      <c r="BC51" s="905"/>
      <c r="BD51" s="905"/>
      <c r="BE51" s="905"/>
      <c r="BF51" s="905"/>
      <c r="BG51" s="905"/>
      <c r="BH51" s="905"/>
      <c r="BI51" s="905"/>
      <c r="BJ51" s="905"/>
      <c r="BK51" s="905"/>
      <c r="BL51" s="905"/>
      <c r="BM51" s="905"/>
      <c r="BN51" s="905"/>
      <c r="BO51" s="905"/>
      <c r="BP51" s="906"/>
      <c r="BQ51" s="906"/>
    </row>
    <row r="52" spans="2:69" ht="17.100000000000001" customHeight="1">
      <c r="B52" s="334">
        <v>44</v>
      </c>
      <c r="C52" s="897"/>
      <c r="D52" s="898"/>
      <c r="E52" s="898"/>
      <c r="F52" s="898"/>
      <c r="G52" s="898"/>
      <c r="H52" s="899"/>
      <c r="I52" s="900"/>
      <c r="J52" s="900"/>
      <c r="K52" s="900"/>
      <c r="L52" s="900"/>
      <c r="M52" s="900"/>
      <c r="N52" s="900"/>
      <c r="O52" s="900"/>
      <c r="P52" s="900"/>
      <c r="Q52" s="900"/>
      <c r="R52" s="900"/>
      <c r="S52" s="900"/>
      <c r="T52" s="900"/>
      <c r="U52" s="900"/>
      <c r="V52" s="901"/>
      <c r="W52" s="901"/>
      <c r="AV52" s="334">
        <v>44</v>
      </c>
      <c r="AW52" s="897"/>
      <c r="AX52" s="898"/>
      <c r="AY52" s="898"/>
      <c r="AZ52" s="898"/>
      <c r="BA52" s="898"/>
      <c r="BB52" s="899"/>
      <c r="BC52" s="900"/>
      <c r="BD52" s="900"/>
      <c r="BE52" s="900"/>
      <c r="BF52" s="900"/>
      <c r="BG52" s="900"/>
      <c r="BH52" s="900"/>
      <c r="BI52" s="900"/>
      <c r="BJ52" s="900"/>
      <c r="BK52" s="900"/>
      <c r="BL52" s="900"/>
      <c r="BM52" s="900"/>
      <c r="BN52" s="900"/>
      <c r="BO52" s="900"/>
      <c r="BP52" s="901"/>
      <c r="BQ52" s="901"/>
    </row>
    <row r="53" spans="2:69" ht="17.100000000000001" customHeight="1">
      <c r="B53" s="333">
        <v>45</v>
      </c>
      <c r="C53" s="902"/>
      <c r="D53" s="903"/>
      <c r="E53" s="903"/>
      <c r="F53" s="903"/>
      <c r="G53" s="903"/>
      <c r="H53" s="904"/>
      <c r="I53" s="905"/>
      <c r="J53" s="905"/>
      <c r="K53" s="905"/>
      <c r="L53" s="905"/>
      <c r="M53" s="905"/>
      <c r="N53" s="905"/>
      <c r="O53" s="905"/>
      <c r="P53" s="905"/>
      <c r="Q53" s="905"/>
      <c r="R53" s="905"/>
      <c r="S53" s="905"/>
      <c r="T53" s="905"/>
      <c r="U53" s="905"/>
      <c r="V53" s="906"/>
      <c r="W53" s="906"/>
      <c r="AV53" s="333">
        <v>45</v>
      </c>
      <c r="AW53" s="902"/>
      <c r="AX53" s="903"/>
      <c r="AY53" s="903"/>
      <c r="AZ53" s="903"/>
      <c r="BA53" s="903"/>
      <c r="BB53" s="904"/>
      <c r="BC53" s="905"/>
      <c r="BD53" s="905"/>
      <c r="BE53" s="905"/>
      <c r="BF53" s="905"/>
      <c r="BG53" s="905"/>
      <c r="BH53" s="905"/>
      <c r="BI53" s="905"/>
      <c r="BJ53" s="905"/>
      <c r="BK53" s="905"/>
      <c r="BL53" s="905"/>
      <c r="BM53" s="905"/>
      <c r="BN53" s="905"/>
      <c r="BO53" s="905"/>
      <c r="BP53" s="906"/>
      <c r="BQ53" s="906"/>
    </row>
    <row r="54" spans="2:69" ht="17.100000000000001" customHeight="1">
      <c r="B54" s="334">
        <v>46</v>
      </c>
      <c r="C54" s="897"/>
      <c r="D54" s="898"/>
      <c r="E54" s="898"/>
      <c r="F54" s="898"/>
      <c r="G54" s="898"/>
      <c r="H54" s="899"/>
      <c r="I54" s="900"/>
      <c r="J54" s="900"/>
      <c r="K54" s="900"/>
      <c r="L54" s="900"/>
      <c r="M54" s="900"/>
      <c r="N54" s="900"/>
      <c r="O54" s="900"/>
      <c r="P54" s="900"/>
      <c r="Q54" s="900"/>
      <c r="R54" s="900"/>
      <c r="S54" s="900"/>
      <c r="T54" s="900"/>
      <c r="U54" s="900"/>
      <c r="V54" s="901"/>
      <c r="W54" s="901"/>
      <c r="AV54" s="334">
        <v>46</v>
      </c>
      <c r="AW54" s="897"/>
      <c r="AX54" s="898"/>
      <c r="AY54" s="898"/>
      <c r="AZ54" s="898"/>
      <c r="BA54" s="898"/>
      <c r="BB54" s="899"/>
      <c r="BC54" s="900"/>
      <c r="BD54" s="900"/>
      <c r="BE54" s="900"/>
      <c r="BF54" s="900"/>
      <c r="BG54" s="900"/>
      <c r="BH54" s="900"/>
      <c r="BI54" s="900"/>
      <c r="BJ54" s="900"/>
      <c r="BK54" s="900"/>
      <c r="BL54" s="900"/>
      <c r="BM54" s="900"/>
      <c r="BN54" s="900"/>
      <c r="BO54" s="900"/>
      <c r="BP54" s="901"/>
      <c r="BQ54" s="901"/>
    </row>
    <row r="55" spans="2:69" ht="17.100000000000001" customHeight="1">
      <c r="B55" s="333">
        <v>47</v>
      </c>
      <c r="C55" s="902"/>
      <c r="D55" s="903"/>
      <c r="E55" s="903"/>
      <c r="F55" s="903"/>
      <c r="G55" s="903"/>
      <c r="H55" s="904"/>
      <c r="I55" s="905"/>
      <c r="J55" s="905"/>
      <c r="K55" s="905"/>
      <c r="L55" s="905"/>
      <c r="M55" s="905"/>
      <c r="N55" s="905"/>
      <c r="O55" s="905"/>
      <c r="P55" s="905"/>
      <c r="Q55" s="905"/>
      <c r="R55" s="905"/>
      <c r="S55" s="905"/>
      <c r="T55" s="905"/>
      <c r="U55" s="905"/>
      <c r="V55" s="906"/>
      <c r="W55" s="906"/>
      <c r="AV55" s="333">
        <v>47</v>
      </c>
      <c r="AW55" s="902"/>
      <c r="AX55" s="903"/>
      <c r="AY55" s="903"/>
      <c r="AZ55" s="903"/>
      <c r="BA55" s="903"/>
      <c r="BB55" s="904"/>
      <c r="BC55" s="905"/>
      <c r="BD55" s="905"/>
      <c r="BE55" s="905"/>
      <c r="BF55" s="905"/>
      <c r="BG55" s="905"/>
      <c r="BH55" s="905"/>
      <c r="BI55" s="905"/>
      <c r="BJ55" s="905"/>
      <c r="BK55" s="905"/>
      <c r="BL55" s="905"/>
      <c r="BM55" s="905"/>
      <c r="BN55" s="905"/>
      <c r="BO55" s="905"/>
      <c r="BP55" s="906"/>
      <c r="BQ55" s="906"/>
    </row>
    <row r="56" spans="2:69" ht="17.100000000000001" customHeight="1">
      <c r="B56" s="334">
        <v>48</v>
      </c>
      <c r="C56" s="897"/>
      <c r="D56" s="898"/>
      <c r="E56" s="898"/>
      <c r="F56" s="898"/>
      <c r="G56" s="898"/>
      <c r="H56" s="899"/>
      <c r="I56" s="900"/>
      <c r="J56" s="900"/>
      <c r="K56" s="900"/>
      <c r="L56" s="900"/>
      <c r="M56" s="900"/>
      <c r="N56" s="900"/>
      <c r="O56" s="900"/>
      <c r="P56" s="900"/>
      <c r="Q56" s="900"/>
      <c r="R56" s="900"/>
      <c r="S56" s="900"/>
      <c r="T56" s="900"/>
      <c r="U56" s="900"/>
      <c r="V56" s="901"/>
      <c r="W56" s="901"/>
      <c r="AV56" s="334">
        <v>48</v>
      </c>
      <c r="AW56" s="897"/>
      <c r="AX56" s="898"/>
      <c r="AY56" s="898"/>
      <c r="AZ56" s="898"/>
      <c r="BA56" s="898"/>
      <c r="BB56" s="899"/>
      <c r="BC56" s="900"/>
      <c r="BD56" s="900"/>
      <c r="BE56" s="900"/>
      <c r="BF56" s="900"/>
      <c r="BG56" s="900"/>
      <c r="BH56" s="900"/>
      <c r="BI56" s="900"/>
      <c r="BJ56" s="900"/>
      <c r="BK56" s="900"/>
      <c r="BL56" s="900"/>
      <c r="BM56" s="900"/>
      <c r="BN56" s="900"/>
      <c r="BO56" s="900"/>
      <c r="BP56" s="901"/>
      <c r="BQ56" s="901"/>
    </row>
    <row r="57" spans="2:69" ht="17.100000000000001" customHeight="1">
      <c r="B57" s="333">
        <v>49</v>
      </c>
      <c r="C57" s="902"/>
      <c r="D57" s="903"/>
      <c r="E57" s="903"/>
      <c r="F57" s="903"/>
      <c r="G57" s="903"/>
      <c r="H57" s="904"/>
      <c r="I57" s="905"/>
      <c r="J57" s="905"/>
      <c r="K57" s="905"/>
      <c r="L57" s="905"/>
      <c r="M57" s="905"/>
      <c r="N57" s="905"/>
      <c r="O57" s="905"/>
      <c r="P57" s="905"/>
      <c r="Q57" s="905"/>
      <c r="R57" s="905"/>
      <c r="S57" s="905"/>
      <c r="T57" s="905"/>
      <c r="U57" s="905"/>
      <c r="V57" s="906"/>
      <c r="W57" s="906"/>
      <c r="AV57" s="333">
        <v>49</v>
      </c>
      <c r="AW57" s="902"/>
      <c r="AX57" s="903"/>
      <c r="AY57" s="903"/>
      <c r="AZ57" s="903"/>
      <c r="BA57" s="903"/>
      <c r="BB57" s="904"/>
      <c r="BC57" s="905"/>
      <c r="BD57" s="905"/>
      <c r="BE57" s="905"/>
      <c r="BF57" s="905"/>
      <c r="BG57" s="905"/>
      <c r="BH57" s="905"/>
      <c r="BI57" s="905"/>
      <c r="BJ57" s="905"/>
      <c r="BK57" s="905"/>
      <c r="BL57" s="905"/>
      <c r="BM57" s="905"/>
      <c r="BN57" s="905"/>
      <c r="BO57" s="905"/>
      <c r="BP57" s="906"/>
      <c r="BQ57" s="906"/>
    </row>
    <row r="58" spans="2:69" ht="17.100000000000001" customHeight="1">
      <c r="B58" s="334">
        <v>50</v>
      </c>
      <c r="C58" s="897"/>
      <c r="D58" s="898"/>
      <c r="E58" s="898"/>
      <c r="F58" s="898"/>
      <c r="G58" s="898"/>
      <c r="H58" s="899"/>
      <c r="I58" s="900"/>
      <c r="J58" s="900"/>
      <c r="K58" s="900"/>
      <c r="L58" s="900"/>
      <c r="M58" s="900"/>
      <c r="N58" s="900"/>
      <c r="O58" s="900"/>
      <c r="P58" s="900"/>
      <c r="Q58" s="900"/>
      <c r="R58" s="900"/>
      <c r="S58" s="900"/>
      <c r="T58" s="900"/>
      <c r="U58" s="900"/>
      <c r="V58" s="901"/>
      <c r="W58" s="901"/>
      <c r="AV58" s="334">
        <v>50</v>
      </c>
      <c r="AW58" s="897"/>
      <c r="AX58" s="898"/>
      <c r="AY58" s="898"/>
      <c r="AZ58" s="898"/>
      <c r="BA58" s="898"/>
      <c r="BB58" s="899"/>
      <c r="BC58" s="900"/>
      <c r="BD58" s="900"/>
      <c r="BE58" s="900"/>
      <c r="BF58" s="900"/>
      <c r="BG58" s="900"/>
      <c r="BH58" s="900"/>
      <c r="BI58" s="900"/>
      <c r="BJ58" s="900"/>
      <c r="BK58" s="900"/>
      <c r="BL58" s="900"/>
      <c r="BM58" s="900"/>
      <c r="BN58" s="900"/>
      <c r="BO58" s="900"/>
      <c r="BP58" s="901"/>
      <c r="BQ58" s="901"/>
    </row>
  </sheetData>
  <sheetProtection selectLockedCells="1"/>
  <protectedRanges>
    <protectedRange sqref="CO11:CP66 Y39:Y132 BS15:BS31 AB39:AT132 E65:W114 E124:W217 AB142:AT235 E227:W320 AB245:AT338 E330:W423 AB348:AT441 AY15:BQ58 X383:X476 E15:W58 Y348:Y441 Y245:Y338 Y142:Y235 X74:X167 AU15:AU66 AB15:AT31 X177:X270 X280:X373 X15:X66 Y15:Y31 BR15:BR66 BV15:CN31" name="区域3"/>
    <protectedRange sqref="BW6:CB6 BY4:CD4 CF6:CP6 CH4:CP4 AU5:AW5" name="区域2"/>
    <protectedRange sqref="AV6:BS6 AW4:BU4" name="区域1"/>
    <protectedRange sqref="AW3:BB3 C3:H3" name="区域1_1"/>
  </protectedRanges>
  <mergeCells count="470">
    <mergeCell ref="A1:CO1"/>
    <mergeCell ref="C2:H2"/>
    <mergeCell ref="I2:N2"/>
    <mergeCell ref="O2:AT2"/>
    <mergeCell ref="B3:B5"/>
    <mergeCell ref="C3:H5"/>
    <mergeCell ref="I3:N5"/>
    <mergeCell ref="O3:AT5"/>
    <mergeCell ref="AV3:AV5"/>
    <mergeCell ref="AW3:BB5"/>
    <mergeCell ref="V8:W8"/>
    <mergeCell ref="Y8:Z8"/>
    <mergeCell ref="AA8:AF8"/>
    <mergeCell ref="AH8:AI8"/>
    <mergeCell ref="BC3:BH5"/>
    <mergeCell ref="BI3:CN5"/>
    <mergeCell ref="B7:W7"/>
    <mergeCell ref="Y7:AF7"/>
    <mergeCell ref="AH7:AT7"/>
    <mergeCell ref="AV7:BQ7"/>
    <mergeCell ref="BS7:BZ7"/>
    <mergeCell ref="CB7:CN7"/>
    <mergeCell ref="BC9:BO9"/>
    <mergeCell ref="BP9:BQ9"/>
    <mergeCell ref="BS9:BT9"/>
    <mergeCell ref="BU9:BZ9"/>
    <mergeCell ref="CB9:CC9"/>
    <mergeCell ref="CD9:CN9"/>
    <mergeCell ref="CB8:CC8"/>
    <mergeCell ref="CD8:CN8"/>
    <mergeCell ref="C9:H9"/>
    <mergeCell ref="I9:U9"/>
    <mergeCell ref="V9:W9"/>
    <mergeCell ref="Y9:Z9"/>
    <mergeCell ref="AA9:AF9"/>
    <mergeCell ref="AH9:AI9"/>
    <mergeCell ref="AJ9:AT9"/>
    <mergeCell ref="AW9:BB9"/>
    <mergeCell ref="AJ8:AT8"/>
    <mergeCell ref="AW8:BB8"/>
    <mergeCell ref="BC8:BO8"/>
    <mergeCell ref="BP8:BQ8"/>
    <mergeCell ref="BS8:BT8"/>
    <mergeCell ref="BU8:BZ8"/>
    <mergeCell ref="C8:H8"/>
    <mergeCell ref="I8:U8"/>
    <mergeCell ref="C11:H11"/>
    <mergeCell ref="I11:U11"/>
    <mergeCell ref="V11:W11"/>
    <mergeCell ref="Y11:Z11"/>
    <mergeCell ref="AA11:AF11"/>
    <mergeCell ref="AH11:AI11"/>
    <mergeCell ref="AJ11:AT11"/>
    <mergeCell ref="AW11:BB11"/>
    <mergeCell ref="AJ10:AT10"/>
    <mergeCell ref="AW10:BB10"/>
    <mergeCell ref="C10:H10"/>
    <mergeCell ref="I10:U10"/>
    <mergeCell ref="V10:W10"/>
    <mergeCell ref="Y10:Z10"/>
    <mergeCell ref="AA10:AF10"/>
    <mergeCell ref="AH10:AI10"/>
    <mergeCell ref="AH12:AI12"/>
    <mergeCell ref="BC11:BO11"/>
    <mergeCell ref="BP11:BQ11"/>
    <mergeCell ref="BS11:BT11"/>
    <mergeCell ref="BU11:BZ11"/>
    <mergeCell ref="CB11:CC11"/>
    <mergeCell ref="CD11:CN11"/>
    <mergeCell ref="CB10:CC10"/>
    <mergeCell ref="CD10:CN10"/>
    <mergeCell ref="BC10:BO10"/>
    <mergeCell ref="BP10:BQ10"/>
    <mergeCell ref="BS10:BT10"/>
    <mergeCell ref="BU10:BZ10"/>
    <mergeCell ref="BU13:BZ13"/>
    <mergeCell ref="CB13:CC13"/>
    <mergeCell ref="CD13:CN13"/>
    <mergeCell ref="CB12:CC12"/>
    <mergeCell ref="CD12:CN12"/>
    <mergeCell ref="C13:H13"/>
    <mergeCell ref="I13:U13"/>
    <mergeCell ref="V13:W13"/>
    <mergeCell ref="Y13:Z13"/>
    <mergeCell ref="AA13:AF13"/>
    <mergeCell ref="AH13:AI13"/>
    <mergeCell ref="AJ13:AT13"/>
    <mergeCell ref="AW13:BB13"/>
    <mergeCell ref="AJ12:AT12"/>
    <mergeCell ref="AW12:BB12"/>
    <mergeCell ref="BC12:BO12"/>
    <mergeCell ref="BP12:BQ12"/>
    <mergeCell ref="BS12:BT12"/>
    <mergeCell ref="BU12:BZ12"/>
    <mergeCell ref="C12:H12"/>
    <mergeCell ref="I12:U12"/>
    <mergeCell ref="V12:W12"/>
    <mergeCell ref="Y12:Z12"/>
    <mergeCell ref="AA12:AF12"/>
    <mergeCell ref="C14:H14"/>
    <mergeCell ref="I14:U14"/>
    <mergeCell ref="V14:W14"/>
    <mergeCell ref="AW14:BB14"/>
    <mergeCell ref="BC14:BO14"/>
    <mergeCell ref="BP14:BQ14"/>
    <mergeCell ref="BC13:BO13"/>
    <mergeCell ref="BP13:BQ13"/>
    <mergeCell ref="BS13:BT13"/>
    <mergeCell ref="C17:H17"/>
    <mergeCell ref="I17:U17"/>
    <mergeCell ref="V17:W17"/>
    <mergeCell ref="Z17:AE17"/>
    <mergeCell ref="AF17:AR17"/>
    <mergeCell ref="AS17:AT17"/>
    <mergeCell ref="BP15:BQ15"/>
    <mergeCell ref="BS15:CN15"/>
    <mergeCell ref="C16:H16"/>
    <mergeCell ref="I16:U16"/>
    <mergeCell ref="V16:W16"/>
    <mergeCell ref="Z16:AE16"/>
    <mergeCell ref="AF16:AR16"/>
    <mergeCell ref="AS16:AT16"/>
    <mergeCell ref="AW16:BB16"/>
    <mergeCell ref="BC16:BO16"/>
    <mergeCell ref="C15:H15"/>
    <mergeCell ref="I15:U15"/>
    <mergeCell ref="V15:W15"/>
    <mergeCell ref="Y15:AT15"/>
    <mergeCell ref="AW15:BB15"/>
    <mergeCell ref="BC15:BO15"/>
    <mergeCell ref="AW17:BB17"/>
    <mergeCell ref="BC17:BO17"/>
    <mergeCell ref="BP17:BQ17"/>
    <mergeCell ref="BT17:BY17"/>
    <mergeCell ref="BZ17:CL17"/>
    <mergeCell ref="CM17:CN17"/>
    <mergeCell ref="BP16:BQ16"/>
    <mergeCell ref="BT16:BY16"/>
    <mergeCell ref="BZ16:CL16"/>
    <mergeCell ref="CM16:CN16"/>
    <mergeCell ref="AW18:BB18"/>
    <mergeCell ref="BC18:BO18"/>
    <mergeCell ref="BP18:BQ18"/>
    <mergeCell ref="BT18:BY18"/>
    <mergeCell ref="BZ18:CL18"/>
    <mergeCell ref="CM18:CN18"/>
    <mergeCell ref="C18:H18"/>
    <mergeCell ref="I18:U18"/>
    <mergeCell ref="V18:W18"/>
    <mergeCell ref="Z18:AE18"/>
    <mergeCell ref="AF18:AR18"/>
    <mergeCell ref="AS18:AT18"/>
    <mergeCell ref="AW19:BB19"/>
    <mergeCell ref="BC19:BO19"/>
    <mergeCell ref="BP19:BQ19"/>
    <mergeCell ref="BT19:BY19"/>
    <mergeCell ref="BZ19:CL19"/>
    <mergeCell ref="CM19:CN19"/>
    <mergeCell ref="C19:H19"/>
    <mergeCell ref="I19:U19"/>
    <mergeCell ref="V19:W19"/>
    <mergeCell ref="Z19:AE19"/>
    <mergeCell ref="AF19:AR19"/>
    <mergeCell ref="AS19:AT19"/>
    <mergeCell ref="AW20:BB20"/>
    <mergeCell ref="BC20:BO20"/>
    <mergeCell ref="BP20:BQ20"/>
    <mergeCell ref="BT20:BY20"/>
    <mergeCell ref="BZ20:CL20"/>
    <mergeCell ref="CM20:CN20"/>
    <mergeCell ref="C20:H20"/>
    <mergeCell ref="I20:U20"/>
    <mergeCell ref="V20:W20"/>
    <mergeCell ref="Z20:AE20"/>
    <mergeCell ref="AF20:AR20"/>
    <mergeCell ref="AS20:AT20"/>
    <mergeCell ref="AW21:BB21"/>
    <mergeCell ref="BC21:BO21"/>
    <mergeCell ref="BP21:BQ21"/>
    <mergeCell ref="BT21:BY21"/>
    <mergeCell ref="BZ21:CL21"/>
    <mergeCell ref="CM21:CN21"/>
    <mergeCell ref="C21:H21"/>
    <mergeCell ref="I21:U21"/>
    <mergeCell ref="V21:W21"/>
    <mergeCell ref="Z21:AE21"/>
    <mergeCell ref="AF21:AR21"/>
    <mergeCell ref="AS21:AT21"/>
    <mergeCell ref="AW22:BB22"/>
    <mergeCell ref="BC22:BO22"/>
    <mergeCell ref="BP22:BQ22"/>
    <mergeCell ref="BT22:BY22"/>
    <mergeCell ref="BZ22:CL22"/>
    <mergeCell ref="CM22:CN22"/>
    <mergeCell ref="C22:H22"/>
    <mergeCell ref="I22:U22"/>
    <mergeCell ref="V22:W22"/>
    <mergeCell ref="Z22:AE22"/>
    <mergeCell ref="AF22:AR22"/>
    <mergeCell ref="AS22:AT22"/>
    <mergeCell ref="AW23:BB23"/>
    <mergeCell ref="BC23:BO23"/>
    <mergeCell ref="BP23:BQ23"/>
    <mergeCell ref="BT23:BY23"/>
    <mergeCell ref="BZ23:CL23"/>
    <mergeCell ref="CM23:CN23"/>
    <mergeCell ref="C23:H23"/>
    <mergeCell ref="I23:U23"/>
    <mergeCell ref="V23:W23"/>
    <mergeCell ref="Z23:AE23"/>
    <mergeCell ref="AF23:AR23"/>
    <mergeCell ref="AS23:AT23"/>
    <mergeCell ref="AW24:BB24"/>
    <mergeCell ref="BC24:BO24"/>
    <mergeCell ref="BP24:BQ24"/>
    <mergeCell ref="BT24:BY24"/>
    <mergeCell ref="BZ24:CL24"/>
    <mergeCell ref="CM24:CN24"/>
    <mergeCell ref="C24:H24"/>
    <mergeCell ref="I24:U24"/>
    <mergeCell ref="V24:W24"/>
    <mergeCell ref="Z24:AE24"/>
    <mergeCell ref="AF24:AR24"/>
    <mergeCell ref="AS24:AT24"/>
    <mergeCell ref="AW25:BB25"/>
    <mergeCell ref="BC25:BO25"/>
    <mergeCell ref="BP25:BQ25"/>
    <mergeCell ref="BT25:BY25"/>
    <mergeCell ref="BZ25:CL25"/>
    <mergeCell ref="CM25:CN25"/>
    <mergeCell ref="C25:H25"/>
    <mergeCell ref="I25:U25"/>
    <mergeCell ref="V25:W25"/>
    <mergeCell ref="Z25:AE25"/>
    <mergeCell ref="AF25:AR25"/>
    <mergeCell ref="AS25:AT25"/>
    <mergeCell ref="AW26:BB26"/>
    <mergeCell ref="BC26:BO26"/>
    <mergeCell ref="BP26:BQ26"/>
    <mergeCell ref="BT26:BY26"/>
    <mergeCell ref="BZ26:CL26"/>
    <mergeCell ref="CM26:CN26"/>
    <mergeCell ref="C26:H26"/>
    <mergeCell ref="I26:U26"/>
    <mergeCell ref="V26:W26"/>
    <mergeCell ref="Z26:AE26"/>
    <mergeCell ref="AF26:AR26"/>
    <mergeCell ref="AS26:AT26"/>
    <mergeCell ref="AW27:BB27"/>
    <mergeCell ref="BC27:BO27"/>
    <mergeCell ref="BP27:BQ27"/>
    <mergeCell ref="BT27:BY27"/>
    <mergeCell ref="BZ27:CL27"/>
    <mergeCell ref="CM27:CN27"/>
    <mergeCell ref="C27:H27"/>
    <mergeCell ref="I27:U27"/>
    <mergeCell ref="V27:W27"/>
    <mergeCell ref="Z27:AE27"/>
    <mergeCell ref="AF27:AR27"/>
    <mergeCell ref="AS27:AT27"/>
    <mergeCell ref="AW28:BB28"/>
    <mergeCell ref="BC28:BO28"/>
    <mergeCell ref="BP28:BQ28"/>
    <mergeCell ref="BT28:BY28"/>
    <mergeCell ref="BZ28:CL28"/>
    <mergeCell ref="CM28:CN28"/>
    <mergeCell ref="C28:H28"/>
    <mergeCell ref="I28:U28"/>
    <mergeCell ref="V28:W28"/>
    <mergeCell ref="Z28:AE28"/>
    <mergeCell ref="AF28:AR28"/>
    <mergeCell ref="AS28:AT28"/>
    <mergeCell ref="AW29:BB29"/>
    <mergeCell ref="BC29:BO29"/>
    <mergeCell ref="BP29:BQ29"/>
    <mergeCell ref="BT29:BY29"/>
    <mergeCell ref="BZ29:CL29"/>
    <mergeCell ref="CM29:CN29"/>
    <mergeCell ref="C29:H29"/>
    <mergeCell ref="I29:U29"/>
    <mergeCell ref="V29:W29"/>
    <mergeCell ref="Z29:AE29"/>
    <mergeCell ref="AF29:AR29"/>
    <mergeCell ref="AS29:AT29"/>
    <mergeCell ref="AW30:BB30"/>
    <mergeCell ref="BC30:BO30"/>
    <mergeCell ref="BP30:BQ30"/>
    <mergeCell ref="BT30:BY30"/>
    <mergeCell ref="BZ30:CL30"/>
    <mergeCell ref="CM30:CN30"/>
    <mergeCell ref="C30:H30"/>
    <mergeCell ref="I30:U30"/>
    <mergeCell ref="V30:W30"/>
    <mergeCell ref="Z30:AE30"/>
    <mergeCell ref="AF30:AR30"/>
    <mergeCell ref="AS30:AT30"/>
    <mergeCell ref="BT31:BY31"/>
    <mergeCell ref="BZ31:CL31"/>
    <mergeCell ref="CM31:CN31"/>
    <mergeCell ref="C31:H31"/>
    <mergeCell ref="I31:U31"/>
    <mergeCell ref="V31:W31"/>
    <mergeCell ref="Z31:AE31"/>
    <mergeCell ref="AF31:AR31"/>
    <mergeCell ref="AS31:AT31"/>
    <mergeCell ref="C32:H32"/>
    <mergeCell ref="I32:U32"/>
    <mergeCell ref="V32:W32"/>
    <mergeCell ref="AW32:BB32"/>
    <mergeCell ref="BC32:BO32"/>
    <mergeCell ref="BP32:BQ32"/>
    <mergeCell ref="AW31:BB31"/>
    <mergeCell ref="BC31:BO31"/>
    <mergeCell ref="BP31:BQ31"/>
    <mergeCell ref="C34:H34"/>
    <mergeCell ref="I34:U34"/>
    <mergeCell ref="V34:W34"/>
    <mergeCell ref="AW34:BB34"/>
    <mergeCell ref="BC34:BO34"/>
    <mergeCell ref="BP34:BQ34"/>
    <mergeCell ref="C33:H33"/>
    <mergeCell ref="I33:U33"/>
    <mergeCell ref="V33:W33"/>
    <mergeCell ref="AW33:BB33"/>
    <mergeCell ref="BC33:BO33"/>
    <mergeCell ref="BP33:BQ33"/>
    <mergeCell ref="C36:H36"/>
    <mergeCell ref="I36:U36"/>
    <mergeCell ref="V36:W36"/>
    <mergeCell ref="AW36:BB36"/>
    <mergeCell ref="BC36:BO36"/>
    <mergeCell ref="BP36:BQ36"/>
    <mergeCell ref="C35:H35"/>
    <mergeCell ref="I35:U35"/>
    <mergeCell ref="V35:W35"/>
    <mergeCell ref="AW35:BB35"/>
    <mergeCell ref="BC35:BO35"/>
    <mergeCell ref="BP35:BQ35"/>
    <mergeCell ref="C38:H38"/>
    <mergeCell ref="I38:U38"/>
    <mergeCell ref="V38:W38"/>
    <mergeCell ref="AW38:BB38"/>
    <mergeCell ref="BC38:BO38"/>
    <mergeCell ref="BP38:BQ38"/>
    <mergeCell ref="C37:H37"/>
    <mergeCell ref="I37:U37"/>
    <mergeCell ref="V37:W37"/>
    <mergeCell ref="AW37:BB37"/>
    <mergeCell ref="BC37:BO37"/>
    <mergeCell ref="BP37:BQ37"/>
    <mergeCell ref="C40:H40"/>
    <mergeCell ref="I40:U40"/>
    <mergeCell ref="V40:W40"/>
    <mergeCell ref="AW40:BB40"/>
    <mergeCell ref="BC40:BO40"/>
    <mergeCell ref="BP40:BQ40"/>
    <mergeCell ref="C39:H39"/>
    <mergeCell ref="I39:U39"/>
    <mergeCell ref="V39:W39"/>
    <mergeCell ref="AW39:BB39"/>
    <mergeCell ref="BC39:BO39"/>
    <mergeCell ref="BP39:BQ39"/>
    <mergeCell ref="C42:H42"/>
    <mergeCell ref="I42:U42"/>
    <mergeCell ref="V42:W42"/>
    <mergeCell ref="AW42:BB42"/>
    <mergeCell ref="BC42:BO42"/>
    <mergeCell ref="BP42:BQ42"/>
    <mergeCell ref="C41:H41"/>
    <mergeCell ref="I41:U41"/>
    <mergeCell ref="V41:W41"/>
    <mergeCell ref="AW41:BB41"/>
    <mergeCell ref="BC41:BO41"/>
    <mergeCell ref="BP41:BQ41"/>
    <mergeCell ref="C44:H44"/>
    <mergeCell ref="I44:U44"/>
    <mergeCell ref="V44:W44"/>
    <mergeCell ref="AW44:BB44"/>
    <mergeCell ref="BC44:BO44"/>
    <mergeCell ref="BP44:BQ44"/>
    <mergeCell ref="C43:H43"/>
    <mergeCell ref="I43:U43"/>
    <mergeCell ref="V43:W43"/>
    <mergeCell ref="AW43:BB43"/>
    <mergeCell ref="BC43:BO43"/>
    <mergeCell ref="BP43:BQ43"/>
    <mergeCell ref="C46:H46"/>
    <mergeCell ref="I46:U46"/>
    <mergeCell ref="V46:W46"/>
    <mergeCell ref="AW46:BB46"/>
    <mergeCell ref="BC46:BO46"/>
    <mergeCell ref="BP46:BQ46"/>
    <mergeCell ref="C45:H45"/>
    <mergeCell ref="I45:U45"/>
    <mergeCell ref="V45:W45"/>
    <mergeCell ref="AW45:BB45"/>
    <mergeCell ref="BC45:BO45"/>
    <mergeCell ref="BP45:BQ45"/>
    <mergeCell ref="C48:H48"/>
    <mergeCell ref="I48:U48"/>
    <mergeCell ref="V48:W48"/>
    <mergeCell ref="AW48:BB48"/>
    <mergeCell ref="BC48:BO48"/>
    <mergeCell ref="BP48:BQ48"/>
    <mergeCell ref="C47:H47"/>
    <mergeCell ref="I47:U47"/>
    <mergeCell ref="V47:W47"/>
    <mergeCell ref="AW47:BB47"/>
    <mergeCell ref="BC47:BO47"/>
    <mergeCell ref="BP47:BQ47"/>
    <mergeCell ref="C50:H50"/>
    <mergeCell ref="I50:U50"/>
    <mergeCell ref="V50:W50"/>
    <mergeCell ref="AW50:BB50"/>
    <mergeCell ref="BC50:BO50"/>
    <mergeCell ref="BP50:BQ50"/>
    <mergeCell ref="C49:H49"/>
    <mergeCell ref="I49:U49"/>
    <mergeCell ref="V49:W49"/>
    <mergeCell ref="AW49:BB49"/>
    <mergeCell ref="BC49:BO49"/>
    <mergeCell ref="BP49:BQ49"/>
    <mergeCell ref="C52:H52"/>
    <mergeCell ref="I52:U52"/>
    <mergeCell ref="V52:W52"/>
    <mergeCell ref="AW52:BB52"/>
    <mergeCell ref="BC52:BO52"/>
    <mergeCell ref="BP52:BQ52"/>
    <mergeCell ref="C51:H51"/>
    <mergeCell ref="I51:U51"/>
    <mergeCell ref="V51:W51"/>
    <mergeCell ref="AW51:BB51"/>
    <mergeCell ref="BC51:BO51"/>
    <mergeCell ref="BP51:BQ51"/>
    <mergeCell ref="C54:H54"/>
    <mergeCell ref="I54:U54"/>
    <mergeCell ref="V54:W54"/>
    <mergeCell ref="AW54:BB54"/>
    <mergeCell ref="BC54:BO54"/>
    <mergeCell ref="BP54:BQ54"/>
    <mergeCell ref="C53:H53"/>
    <mergeCell ref="I53:U53"/>
    <mergeCell ref="V53:W53"/>
    <mergeCell ref="AW53:BB53"/>
    <mergeCell ref="BC53:BO53"/>
    <mergeCell ref="BP53:BQ53"/>
    <mergeCell ref="C56:H56"/>
    <mergeCell ref="I56:U56"/>
    <mergeCell ref="V56:W56"/>
    <mergeCell ref="AW56:BB56"/>
    <mergeCell ref="BC56:BO56"/>
    <mergeCell ref="BP56:BQ56"/>
    <mergeCell ref="C55:H55"/>
    <mergeCell ref="I55:U55"/>
    <mergeCell ref="V55:W55"/>
    <mergeCell ref="AW55:BB55"/>
    <mergeCell ref="BC55:BO55"/>
    <mergeCell ref="BP55:BQ55"/>
    <mergeCell ref="C58:H58"/>
    <mergeCell ref="I58:U58"/>
    <mergeCell ref="V58:W58"/>
    <mergeCell ref="AW58:BB58"/>
    <mergeCell ref="BC58:BO58"/>
    <mergeCell ref="BP58:BQ58"/>
    <mergeCell ref="C57:H57"/>
    <mergeCell ref="I57:U57"/>
    <mergeCell ref="V57:W57"/>
    <mergeCell ref="AW57:BB57"/>
    <mergeCell ref="BC57:BO57"/>
    <mergeCell ref="BP57:BQ57"/>
  </mergeCells>
  <phoneticPr fontId="4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59999389629810485"/>
  </sheetPr>
  <dimension ref="B1:AX53"/>
  <sheetViews>
    <sheetView zoomScale="75" zoomScaleNormal="75" workbookViewId="0">
      <selection activeCell="AE97" sqref="AE97:AI97"/>
    </sheetView>
  </sheetViews>
  <sheetFormatPr defaultColWidth="9" defaultRowHeight="15.6"/>
  <cols>
    <col min="1" max="1" width="4.77734375" style="7" customWidth="1"/>
    <col min="2" max="2" width="2.77734375" style="7" customWidth="1"/>
    <col min="3" max="18" width="5.77734375" style="7" customWidth="1"/>
    <col min="19" max="20" width="2.77734375" style="7" customWidth="1"/>
    <col min="21" max="21" width="4.33203125" style="7" customWidth="1"/>
    <col min="22" max="22" width="2.33203125" style="8" customWidth="1"/>
    <col min="23" max="23" width="0.77734375" style="8" customWidth="1"/>
    <col min="24" max="24" width="15.33203125" style="7" customWidth="1"/>
    <col min="25" max="25" width="0.77734375" style="7" customWidth="1"/>
    <col min="26" max="26" width="4.33203125" style="7" customWidth="1"/>
    <col min="27" max="27" width="2.33203125" style="7" customWidth="1"/>
    <col min="28" max="28" width="0.77734375" style="7" customWidth="1"/>
    <col min="29" max="29" width="15.33203125" style="7" customWidth="1"/>
    <col min="30" max="30" width="0.77734375" style="7" customWidth="1"/>
    <col min="31" max="31" width="4.33203125" style="7" customWidth="1"/>
    <col min="32" max="32" width="2.33203125" style="7" customWidth="1"/>
    <col min="33" max="33" width="0.77734375" style="7" customWidth="1"/>
    <col min="34" max="34" width="15.33203125" style="7" customWidth="1"/>
    <col min="35" max="35" width="0.77734375" style="7" customWidth="1"/>
    <col min="36" max="36" width="4.33203125" style="7" customWidth="1"/>
    <col min="37" max="37" width="2.33203125" style="7" customWidth="1"/>
    <col min="38" max="38" width="0.77734375" style="7" customWidth="1"/>
    <col min="39" max="39" width="15.33203125" style="7" customWidth="1"/>
    <col min="40" max="40" width="0.77734375" style="7" customWidth="1"/>
    <col min="41" max="42" width="2.77734375" style="7" customWidth="1"/>
    <col min="43" max="49" width="8.77734375" style="7" customWidth="1"/>
    <col min="50" max="16384" width="9" style="7"/>
  </cols>
  <sheetData>
    <row r="1" spans="2:50" s="269" customFormat="1">
      <c r="V1" s="270"/>
      <c r="W1" s="270"/>
    </row>
    <row r="2" spans="2:50" ht="17.55" customHeight="1">
      <c r="B2" s="319"/>
      <c r="C2" s="929" t="s">
        <v>4006</v>
      </c>
      <c r="D2" s="929"/>
      <c r="E2" s="929"/>
      <c r="F2" s="929"/>
      <c r="G2" s="320"/>
      <c r="H2" s="320"/>
      <c r="I2" s="320"/>
      <c r="J2" s="320"/>
      <c r="K2" s="320"/>
      <c r="L2" s="320"/>
      <c r="M2" s="320"/>
      <c r="N2" s="320"/>
      <c r="O2" s="320"/>
      <c r="P2" s="320"/>
      <c r="Q2" s="320"/>
      <c r="R2" s="320"/>
      <c r="S2" s="321"/>
      <c r="T2" s="320"/>
      <c r="U2" s="930" t="s">
        <v>4007</v>
      </c>
      <c r="V2" s="930"/>
      <c r="W2" s="930"/>
      <c r="X2" s="930"/>
      <c r="Y2" s="320"/>
      <c r="Z2" s="919" t="s">
        <v>5837</v>
      </c>
      <c r="AA2" s="919"/>
      <c r="AB2" s="919"/>
      <c r="AC2" s="919"/>
      <c r="AD2" s="919"/>
      <c r="AE2" s="919"/>
      <c r="AF2" s="919"/>
      <c r="AG2" s="919"/>
      <c r="AH2" s="919"/>
      <c r="AI2" s="919"/>
      <c r="AJ2" s="320"/>
      <c r="AK2" s="320"/>
      <c r="AL2" s="320"/>
      <c r="AM2" s="320"/>
      <c r="AN2" s="320"/>
      <c r="AO2" s="321"/>
      <c r="AQ2" s="920" t="s">
        <v>5950</v>
      </c>
      <c r="AR2" s="921"/>
      <c r="AS2" s="921"/>
      <c r="AT2" s="921"/>
      <c r="AU2" s="921"/>
      <c r="AV2" s="921"/>
      <c r="AW2" s="921"/>
      <c r="AX2" s="922"/>
    </row>
    <row r="3" spans="2:50" ht="17.55" customHeight="1">
      <c r="B3" s="940"/>
      <c r="C3" s="942" t="str" cm="1">
        <f t="array" aca="1" ref="C3" ca="1">IF(IFERROR(ERROR.TYPE(IF(VLOOKUP(INDIRECT(CELL("address")),法术大全!A3:A574,1,0)=FALSE,"",INDIRECT(CELL("address")))),0)=7,"",INDIRECT(CELL("address")))</f>
        <v/>
      </c>
      <c r="D3" s="943"/>
      <c r="E3" s="943"/>
      <c r="F3" s="943"/>
      <c r="G3" s="943"/>
      <c r="H3" s="943"/>
      <c r="I3" s="943"/>
      <c r="J3" s="943"/>
      <c r="K3" s="943"/>
      <c r="L3" s="943"/>
      <c r="M3" s="943"/>
      <c r="N3" s="943"/>
      <c r="O3" s="943"/>
      <c r="P3" s="943"/>
      <c r="Q3" s="943"/>
      <c r="R3" s="944"/>
      <c r="S3" s="939"/>
      <c r="T3" s="329"/>
      <c r="U3" s="315">
        <v>1</v>
      </c>
      <c r="V3" s="9" t="str">
        <f>IFERROR(VLOOKUP(X3,法术大全!A:W,2,FALSE),"")</f>
        <v/>
      </c>
      <c r="W3" s="10" t="str">
        <f>数据表!C2</f>
        <v/>
      </c>
      <c r="X3" s="245"/>
      <c r="Y3" s="273" t="str">
        <f>数据表!D2</f>
        <v/>
      </c>
      <c r="Z3" s="315">
        <v>51</v>
      </c>
      <c r="AA3" s="11" t="str">
        <f>IFERROR(VLOOKUP(AC3,法术大全!A:W,2,FALSE),"")</f>
        <v/>
      </c>
      <c r="AB3" s="12" t="str">
        <f>数据表!C52</f>
        <v/>
      </c>
      <c r="AC3" s="245"/>
      <c r="AD3" s="273" t="str">
        <f>数据表!D52</f>
        <v/>
      </c>
      <c r="AE3" s="316">
        <v>101</v>
      </c>
      <c r="AF3" s="9" t="str">
        <f>IFERROR(VLOOKUP(AH3,法术大全!A:W,2,FALSE),"")</f>
        <v/>
      </c>
      <c r="AG3" s="10" t="str">
        <f>数据表!C102</f>
        <v/>
      </c>
      <c r="AH3" s="245"/>
      <c r="AI3" s="273" t="str">
        <f>数据表!D102</f>
        <v/>
      </c>
      <c r="AJ3" s="317">
        <v>151</v>
      </c>
      <c r="AK3" s="11" t="str">
        <f>IFERROR(VLOOKUP(AM3,法术大全!A:W,2,FALSE),"")</f>
        <v/>
      </c>
      <c r="AL3" s="10" t="str">
        <f>数据表!C152</f>
        <v/>
      </c>
      <c r="AM3" s="245"/>
      <c r="AN3" s="273" t="str">
        <f>数据表!D152</f>
        <v/>
      </c>
      <c r="AO3" s="328"/>
      <c r="AQ3" s="923"/>
      <c r="AR3" s="924"/>
      <c r="AS3" s="924"/>
      <c r="AT3" s="924"/>
      <c r="AU3" s="924"/>
      <c r="AV3" s="924"/>
      <c r="AW3" s="924"/>
      <c r="AX3" s="925"/>
    </row>
    <row r="4" spans="2:50" ht="17.55" customHeight="1">
      <c r="B4" s="940"/>
      <c r="C4" s="945"/>
      <c r="D4" s="946"/>
      <c r="E4" s="946"/>
      <c r="F4" s="946"/>
      <c r="G4" s="946"/>
      <c r="H4" s="946"/>
      <c r="I4" s="946"/>
      <c r="J4" s="946"/>
      <c r="K4" s="946"/>
      <c r="L4" s="946"/>
      <c r="M4" s="946"/>
      <c r="N4" s="946"/>
      <c r="O4" s="946"/>
      <c r="P4" s="946"/>
      <c r="Q4" s="946"/>
      <c r="R4" s="947"/>
      <c r="S4" s="939"/>
      <c r="T4" s="329"/>
      <c r="U4" s="315">
        <v>2</v>
      </c>
      <c r="V4" s="9" t="str">
        <f>IFERROR(VLOOKUP(X4,法术大全!A:W,2,FALSE),"")</f>
        <v/>
      </c>
      <c r="W4" s="10" t="str">
        <f>数据表!C3</f>
        <v/>
      </c>
      <c r="X4" s="245"/>
      <c r="Y4" s="273" t="str">
        <f>数据表!D3</f>
        <v/>
      </c>
      <c r="Z4" s="315">
        <v>52</v>
      </c>
      <c r="AA4" s="11" t="str">
        <f>IFERROR(VLOOKUP(AC4,法术大全!A:W,2,FALSE),"")</f>
        <v/>
      </c>
      <c r="AB4" s="12" t="str">
        <f>数据表!C53</f>
        <v/>
      </c>
      <c r="AC4" s="245"/>
      <c r="AD4" s="273" t="str">
        <f>数据表!D53</f>
        <v/>
      </c>
      <c r="AE4" s="316">
        <v>102</v>
      </c>
      <c r="AF4" s="9" t="str">
        <f>IFERROR(VLOOKUP(AH4,法术大全!A:W,2,FALSE),"")</f>
        <v/>
      </c>
      <c r="AG4" s="10" t="str">
        <f>数据表!C103</f>
        <v/>
      </c>
      <c r="AH4" s="245"/>
      <c r="AI4" s="273" t="str">
        <f>数据表!D103</f>
        <v/>
      </c>
      <c r="AJ4" s="318">
        <v>152</v>
      </c>
      <c r="AK4" s="11" t="str">
        <f>IFERROR(VLOOKUP(AM4,法术大全!A:W,2,FALSE),"")</f>
        <v/>
      </c>
      <c r="AL4" s="10" t="str">
        <f>数据表!C153</f>
        <v/>
      </c>
      <c r="AM4" s="245"/>
      <c r="AN4" s="273" t="str">
        <f>数据表!D153</f>
        <v/>
      </c>
      <c r="AO4" s="328"/>
      <c r="AQ4" s="923"/>
      <c r="AR4" s="924"/>
      <c r="AS4" s="924"/>
      <c r="AT4" s="924"/>
      <c r="AU4" s="924"/>
      <c r="AV4" s="924"/>
      <c r="AW4" s="924"/>
      <c r="AX4" s="925"/>
    </row>
    <row r="5" spans="2:50" ht="17.55" customHeight="1">
      <c r="B5" s="940"/>
      <c r="C5" s="945"/>
      <c r="D5" s="946"/>
      <c r="E5" s="946"/>
      <c r="F5" s="946"/>
      <c r="G5" s="946"/>
      <c r="H5" s="946"/>
      <c r="I5" s="946"/>
      <c r="J5" s="946"/>
      <c r="K5" s="946"/>
      <c r="L5" s="946"/>
      <c r="M5" s="946"/>
      <c r="N5" s="946"/>
      <c r="O5" s="946"/>
      <c r="P5" s="946"/>
      <c r="Q5" s="946"/>
      <c r="R5" s="947"/>
      <c r="S5" s="939"/>
      <c r="T5" s="329"/>
      <c r="U5" s="315">
        <v>3</v>
      </c>
      <c r="V5" s="9" t="str">
        <f>IFERROR(VLOOKUP(X5,法术大全!A:W,2,FALSE),"")</f>
        <v/>
      </c>
      <c r="W5" s="10" t="str">
        <f>数据表!C4</f>
        <v/>
      </c>
      <c r="X5" s="245"/>
      <c r="Y5" s="273" t="str">
        <f>数据表!D4</f>
        <v/>
      </c>
      <c r="Z5" s="315">
        <v>53</v>
      </c>
      <c r="AA5" s="11" t="str">
        <f>IFERROR(VLOOKUP(AC5,法术大全!A:W,2,FALSE),"")</f>
        <v/>
      </c>
      <c r="AB5" s="12" t="str">
        <f>数据表!C54</f>
        <v/>
      </c>
      <c r="AC5" s="245"/>
      <c r="AD5" s="273" t="str">
        <f>数据表!D54</f>
        <v/>
      </c>
      <c r="AE5" s="316">
        <v>103</v>
      </c>
      <c r="AF5" s="9" t="str">
        <f>IFERROR(VLOOKUP(AH5,法术大全!A:W,2,FALSE),"")</f>
        <v/>
      </c>
      <c r="AG5" s="10" t="str">
        <f>数据表!C104</f>
        <v/>
      </c>
      <c r="AH5" s="245"/>
      <c r="AI5" s="273" t="str">
        <f>数据表!D104</f>
        <v/>
      </c>
      <c r="AJ5" s="318">
        <v>153</v>
      </c>
      <c r="AK5" s="11" t="str">
        <f>IFERROR(VLOOKUP(AM5,法术大全!A:W,2,FALSE),"")</f>
        <v/>
      </c>
      <c r="AL5" s="10" t="str">
        <f>数据表!C154</f>
        <v/>
      </c>
      <c r="AM5" s="245"/>
      <c r="AN5" s="273" t="str">
        <f>数据表!D154</f>
        <v/>
      </c>
      <c r="AO5" s="328"/>
      <c r="AQ5" s="923"/>
      <c r="AR5" s="924"/>
      <c r="AS5" s="924"/>
      <c r="AT5" s="924"/>
      <c r="AU5" s="924"/>
      <c r="AV5" s="924"/>
      <c r="AW5" s="924"/>
      <c r="AX5" s="925"/>
    </row>
    <row r="6" spans="2:50" ht="17.55" customHeight="1">
      <c r="B6" s="940"/>
      <c r="C6" s="948"/>
      <c r="D6" s="949"/>
      <c r="E6" s="949"/>
      <c r="F6" s="949"/>
      <c r="G6" s="949"/>
      <c r="H6" s="949"/>
      <c r="I6" s="949"/>
      <c r="J6" s="949"/>
      <c r="K6" s="949"/>
      <c r="L6" s="949"/>
      <c r="M6" s="949"/>
      <c r="N6" s="949"/>
      <c r="O6" s="949"/>
      <c r="P6" s="949"/>
      <c r="Q6" s="949"/>
      <c r="R6" s="950"/>
      <c r="S6" s="939"/>
      <c r="T6" s="329"/>
      <c r="U6" s="315">
        <v>4</v>
      </c>
      <c r="V6" s="9" t="str">
        <f>IFERROR(VLOOKUP(X6,法术大全!A:W,2,FALSE),"")</f>
        <v/>
      </c>
      <c r="W6" s="10" t="str">
        <f>数据表!C5</f>
        <v/>
      </c>
      <c r="X6" s="245"/>
      <c r="Y6" s="273" t="str">
        <f>数据表!D5</f>
        <v/>
      </c>
      <c r="Z6" s="315">
        <v>54</v>
      </c>
      <c r="AA6" s="11" t="str">
        <f>IFERROR(VLOOKUP(AC6,法术大全!A:W,2,FALSE),"")</f>
        <v/>
      </c>
      <c r="AB6" s="12" t="str">
        <f>数据表!C55</f>
        <v/>
      </c>
      <c r="AC6" s="245"/>
      <c r="AD6" s="273" t="str">
        <f>数据表!D55</f>
        <v/>
      </c>
      <c r="AE6" s="316">
        <v>104</v>
      </c>
      <c r="AF6" s="9" t="str">
        <f>IFERROR(VLOOKUP(AH6,法术大全!A:W,2,FALSE),"")</f>
        <v/>
      </c>
      <c r="AG6" s="10" t="str">
        <f>数据表!C105</f>
        <v/>
      </c>
      <c r="AH6" s="245"/>
      <c r="AI6" s="273" t="str">
        <f>数据表!D105</f>
        <v/>
      </c>
      <c r="AJ6" s="318">
        <v>154</v>
      </c>
      <c r="AK6" s="11" t="str">
        <f>IFERROR(VLOOKUP(AM6,法术大全!A:W,2,FALSE),"")</f>
        <v/>
      </c>
      <c r="AL6" s="10" t="str">
        <f>数据表!C155</f>
        <v/>
      </c>
      <c r="AM6" s="245"/>
      <c r="AN6" s="273" t="str">
        <f>数据表!D155</f>
        <v/>
      </c>
      <c r="AO6" s="328"/>
      <c r="AQ6" s="923"/>
      <c r="AR6" s="924"/>
      <c r="AS6" s="924"/>
      <c r="AT6" s="924"/>
      <c r="AU6" s="924"/>
      <c r="AV6" s="924"/>
      <c r="AW6" s="924"/>
      <c r="AX6" s="925"/>
    </row>
    <row r="7" spans="2:50" ht="17.55" customHeight="1">
      <c r="B7" s="940"/>
      <c r="C7" s="931"/>
      <c r="D7" s="931"/>
      <c r="E7" s="931"/>
      <c r="F7" s="931"/>
      <c r="G7" s="931"/>
      <c r="H7" s="931"/>
      <c r="I7" s="931"/>
      <c r="J7" s="931"/>
      <c r="K7" s="931"/>
      <c r="L7" s="931"/>
      <c r="M7" s="931"/>
      <c r="N7" s="931"/>
      <c r="O7" s="931"/>
      <c r="P7" s="931"/>
      <c r="Q7" s="931"/>
      <c r="R7" s="931"/>
      <c r="S7" s="939"/>
      <c r="T7" s="329"/>
      <c r="U7" s="315">
        <v>5</v>
      </c>
      <c r="V7" s="9" t="str">
        <f>IFERROR(VLOOKUP(X7,法术大全!A:W,2,FALSE),"")</f>
        <v/>
      </c>
      <c r="W7" s="10" t="str">
        <f>数据表!C6</f>
        <v/>
      </c>
      <c r="X7" s="245"/>
      <c r="Y7" s="273" t="str">
        <f>数据表!D6</f>
        <v/>
      </c>
      <c r="Z7" s="315">
        <v>55</v>
      </c>
      <c r="AA7" s="11" t="str">
        <f>IFERROR(VLOOKUP(AC7,法术大全!A:W,2,FALSE),"")</f>
        <v/>
      </c>
      <c r="AB7" s="12" t="str">
        <f>数据表!C56</f>
        <v/>
      </c>
      <c r="AC7" s="245"/>
      <c r="AD7" s="273" t="str">
        <f>数据表!D56</f>
        <v/>
      </c>
      <c r="AE7" s="316">
        <v>105</v>
      </c>
      <c r="AF7" s="9" t="str">
        <f>IFERROR(VLOOKUP(AH7,法术大全!A:W,2,FALSE),"")</f>
        <v/>
      </c>
      <c r="AG7" s="10" t="str">
        <f>数据表!C106</f>
        <v/>
      </c>
      <c r="AH7" s="245"/>
      <c r="AI7" s="273" t="str">
        <f>数据表!D106</f>
        <v/>
      </c>
      <c r="AJ7" s="318">
        <v>155</v>
      </c>
      <c r="AK7" s="11" t="str">
        <f>IFERROR(VLOOKUP(AM7,法术大全!A:W,2,FALSE),"")</f>
        <v/>
      </c>
      <c r="AL7" s="10" t="str">
        <f>数据表!C156</f>
        <v/>
      </c>
      <c r="AM7" s="245"/>
      <c r="AN7" s="273" t="str">
        <f>数据表!D156</f>
        <v/>
      </c>
      <c r="AO7" s="328"/>
      <c r="AQ7" s="923"/>
      <c r="AR7" s="924"/>
      <c r="AS7" s="924"/>
      <c r="AT7" s="924"/>
      <c r="AU7" s="924"/>
      <c r="AV7" s="924"/>
      <c r="AW7" s="924"/>
      <c r="AX7" s="925"/>
    </row>
    <row r="8" spans="2:50" ht="17.55" customHeight="1">
      <c r="B8" s="940"/>
      <c r="C8" s="932" t="str">
        <f ca="1">IFERROR(VLOOKUP(C3,法术大全!A:W,14,FALSE),"")</f>
        <v xml:space="preserve"> </v>
      </c>
      <c r="D8" s="933"/>
      <c r="E8" s="933"/>
      <c r="F8" s="933"/>
      <c r="G8" s="933"/>
      <c r="H8" s="933"/>
      <c r="I8" s="933"/>
      <c r="J8" s="933"/>
      <c r="K8" s="330"/>
      <c r="L8" s="324"/>
      <c r="M8" s="938" t="s">
        <v>5274</v>
      </c>
      <c r="N8" s="938"/>
      <c r="O8" s="918" t="str">
        <f ca="1">IF(C3="","",VLOOKUP(C3,法术大全!A:X,26,FALSE))</f>
        <v/>
      </c>
      <c r="P8" s="918"/>
      <c r="Q8" s="918"/>
      <c r="R8" s="918"/>
      <c r="S8" s="939"/>
      <c r="T8" s="329"/>
      <c r="U8" s="315">
        <v>6</v>
      </c>
      <c r="V8" s="9" t="str">
        <f>IFERROR(VLOOKUP(X8,法术大全!A:W,2,FALSE),"")</f>
        <v/>
      </c>
      <c r="W8" s="10" t="str">
        <f>数据表!C7</f>
        <v/>
      </c>
      <c r="X8" s="245"/>
      <c r="Y8" s="273" t="str">
        <f>数据表!D7</f>
        <v/>
      </c>
      <c r="Z8" s="315">
        <v>56</v>
      </c>
      <c r="AA8" s="11" t="str">
        <f>IFERROR(VLOOKUP(AC8,法术大全!A:W,2,FALSE),"")</f>
        <v/>
      </c>
      <c r="AB8" s="12" t="str">
        <f>数据表!C57</f>
        <v/>
      </c>
      <c r="AC8" s="245"/>
      <c r="AD8" s="273" t="str">
        <f>数据表!D57</f>
        <v/>
      </c>
      <c r="AE8" s="316">
        <v>106</v>
      </c>
      <c r="AF8" s="9" t="str">
        <f>IFERROR(VLOOKUP(AH8,法术大全!A:W,2,FALSE),"")</f>
        <v/>
      </c>
      <c r="AG8" s="10" t="str">
        <f>数据表!C107</f>
        <v/>
      </c>
      <c r="AH8" s="245"/>
      <c r="AI8" s="273" t="str">
        <f>数据表!D107</f>
        <v/>
      </c>
      <c r="AJ8" s="318">
        <v>156</v>
      </c>
      <c r="AK8" s="11" t="str">
        <f>IFERROR(VLOOKUP(AM8,法术大全!A:W,2,FALSE),"")</f>
        <v/>
      </c>
      <c r="AL8" s="10" t="str">
        <f>数据表!C157</f>
        <v/>
      </c>
      <c r="AM8" s="245"/>
      <c r="AN8" s="273" t="str">
        <f>数据表!D157</f>
        <v/>
      </c>
      <c r="AO8" s="328"/>
      <c r="AQ8" s="923"/>
      <c r="AR8" s="924"/>
      <c r="AS8" s="924"/>
      <c r="AT8" s="924"/>
      <c r="AU8" s="924"/>
      <c r="AV8" s="924"/>
      <c r="AW8" s="924"/>
      <c r="AX8" s="925"/>
    </row>
    <row r="9" spans="2:50" ht="17.55" customHeight="1">
      <c r="B9" s="940"/>
      <c r="C9" s="936" t="s">
        <v>4536</v>
      </c>
      <c r="D9" s="936"/>
      <c r="E9" s="951" t="str">
        <f ca="1">IF(C3="","",CONCATENATE(IF(VLOOKUP(C3,法术大全!A:W,15,0)="√","吟游诗人 ",""),IF(VLOOKUP(C3,法术大全!A:W,16,0)="√","牧师 ",""),IF(VLOOKUP(C3,法术大全!A:W,17,0)="√","德鲁伊 ",""),IF(VLOOKUP(C3,法术大全!A:W,18,0)="√","圣武士 ",""),IF(VLOOKUP(C3,法术大全!A:W,19,0)="√","游侠 ",""),IF(VLOOKUP(C3,法术大全!A:W,20,0)="√","术士 ",""),IF(VLOOKUP(C3,法术大全!A:W,21,0)="√","邪术师 ",""),IF(VLOOKUP(C3,法术大全!A:W,22,0)="√","法师 ",""),IF(VLOOKUP(C3,法术大全!A:W,23,0)="√","奇械师 ","")))</f>
        <v/>
      </c>
      <c r="F9" s="952"/>
      <c r="G9" s="952"/>
      <c r="H9" s="952"/>
      <c r="I9" s="952"/>
      <c r="J9" s="953"/>
      <c r="K9" s="936" t="s">
        <v>4533</v>
      </c>
      <c r="L9" s="936"/>
      <c r="M9" s="935" t="str">
        <f ca="1">IF(C3="","",IF(VLOOKUP(C3,法术大全!A:W,2,FALSE),CONCATENATE(VLOOKUP(C3,法术大全!A:W,2,FALSE),"环"),"戏法"))</f>
        <v/>
      </c>
      <c r="N9" s="935"/>
      <c r="O9" s="936" t="s">
        <v>4535</v>
      </c>
      <c r="P9" s="936"/>
      <c r="Q9" s="935" t="str">
        <f ca="1">IFERROR(VLOOKUP(C3,法术大全!A:W,3,FALSE),"")</f>
        <v/>
      </c>
      <c r="R9" s="935"/>
      <c r="S9" s="939"/>
      <c r="T9" s="329"/>
      <c r="U9" s="315">
        <v>7</v>
      </c>
      <c r="V9" s="9" t="str">
        <f>IFERROR(VLOOKUP(X9,法术大全!A:W,2,FALSE),"")</f>
        <v/>
      </c>
      <c r="W9" s="10" t="str">
        <f>数据表!C8</f>
        <v/>
      </c>
      <c r="X9" s="245"/>
      <c r="Y9" s="273" t="str">
        <f>数据表!D8</f>
        <v/>
      </c>
      <c r="Z9" s="315">
        <v>57</v>
      </c>
      <c r="AA9" s="11" t="str">
        <f>IFERROR(VLOOKUP(AC9,法术大全!A:W,2,FALSE),"")</f>
        <v/>
      </c>
      <c r="AB9" s="12" t="str">
        <f>数据表!C58</f>
        <v/>
      </c>
      <c r="AC9" s="245"/>
      <c r="AD9" s="273" t="str">
        <f>数据表!D58</f>
        <v/>
      </c>
      <c r="AE9" s="316">
        <v>107</v>
      </c>
      <c r="AF9" s="9" t="str">
        <f>IFERROR(VLOOKUP(AH9,法术大全!A:W,2,FALSE),"")</f>
        <v/>
      </c>
      <c r="AG9" s="10" t="str">
        <f>数据表!C108</f>
        <v/>
      </c>
      <c r="AH9" s="245"/>
      <c r="AI9" s="273" t="str">
        <f>数据表!D108</f>
        <v/>
      </c>
      <c r="AJ9" s="318">
        <v>157</v>
      </c>
      <c r="AK9" s="11" t="str">
        <f>IFERROR(VLOOKUP(AM9,法术大全!A:W,2,FALSE),"")</f>
        <v/>
      </c>
      <c r="AL9" s="10" t="str">
        <f>数据表!C158</f>
        <v/>
      </c>
      <c r="AM9" s="245"/>
      <c r="AN9" s="273" t="str">
        <f>数据表!D158</f>
        <v/>
      </c>
      <c r="AO9" s="328"/>
      <c r="AQ9" s="923"/>
      <c r="AR9" s="924"/>
      <c r="AS9" s="924"/>
      <c r="AT9" s="924"/>
      <c r="AU9" s="924"/>
      <c r="AV9" s="924"/>
      <c r="AW9" s="924"/>
      <c r="AX9" s="925"/>
    </row>
    <row r="10" spans="2:50" ht="17.55" customHeight="1">
      <c r="B10" s="940"/>
      <c r="C10" s="936"/>
      <c r="D10" s="936"/>
      <c r="E10" s="954"/>
      <c r="F10" s="955"/>
      <c r="G10" s="955"/>
      <c r="H10" s="955"/>
      <c r="I10" s="955"/>
      <c r="J10" s="956"/>
      <c r="K10" s="936"/>
      <c r="L10" s="936"/>
      <c r="M10" s="935"/>
      <c r="N10" s="935"/>
      <c r="O10" s="936"/>
      <c r="P10" s="936"/>
      <c r="Q10" s="935"/>
      <c r="R10" s="935"/>
      <c r="S10" s="939"/>
      <c r="T10" s="329"/>
      <c r="U10" s="315">
        <v>8</v>
      </c>
      <c r="V10" s="9" t="str">
        <f>IFERROR(VLOOKUP(X10,法术大全!A:W,2,FALSE),"")</f>
        <v/>
      </c>
      <c r="W10" s="10" t="str">
        <f>数据表!C9</f>
        <v/>
      </c>
      <c r="X10" s="245"/>
      <c r="Y10" s="273" t="str">
        <f>数据表!D9</f>
        <v/>
      </c>
      <c r="Z10" s="315">
        <v>58</v>
      </c>
      <c r="AA10" s="11" t="str">
        <f>IFERROR(VLOOKUP(AC10,法术大全!A:W,2,FALSE),"")</f>
        <v/>
      </c>
      <c r="AB10" s="12" t="str">
        <f>数据表!C59</f>
        <v/>
      </c>
      <c r="AC10" s="245"/>
      <c r="AD10" s="273" t="str">
        <f>数据表!D59</f>
        <v/>
      </c>
      <c r="AE10" s="316">
        <v>108</v>
      </c>
      <c r="AF10" s="9" t="str">
        <f>IFERROR(VLOOKUP(AH10,法术大全!A:W,2,FALSE),"")</f>
        <v/>
      </c>
      <c r="AG10" s="10" t="str">
        <f>数据表!C109</f>
        <v/>
      </c>
      <c r="AH10" s="245"/>
      <c r="AI10" s="273" t="str">
        <f>数据表!D109</f>
        <v/>
      </c>
      <c r="AJ10" s="318">
        <v>158</v>
      </c>
      <c r="AK10" s="11" t="str">
        <f>IFERROR(VLOOKUP(AM10,法术大全!A:W,2,FALSE),"")</f>
        <v/>
      </c>
      <c r="AL10" s="10" t="str">
        <f>数据表!C159</f>
        <v/>
      </c>
      <c r="AM10" s="245"/>
      <c r="AN10" s="273" t="str">
        <f>数据表!D159</f>
        <v/>
      </c>
      <c r="AO10" s="328"/>
      <c r="AQ10" s="923"/>
      <c r="AR10" s="924"/>
      <c r="AS10" s="924"/>
      <c r="AT10" s="924"/>
      <c r="AU10" s="924"/>
      <c r="AV10" s="924"/>
      <c r="AW10" s="924"/>
      <c r="AX10" s="925"/>
    </row>
    <row r="11" spans="2:50" ht="17.55" customHeight="1">
      <c r="B11" s="940"/>
      <c r="C11" s="936" t="s">
        <v>4537</v>
      </c>
      <c r="D11" s="936"/>
      <c r="E11" s="934" t="str">
        <f ca="1">IFERROR(VLOOKUP(C3,法术大全!A:W,6,FALSE),"")</f>
        <v/>
      </c>
      <c r="F11" s="934"/>
      <c r="G11" s="934"/>
      <c r="H11" s="934"/>
      <c r="I11" s="934"/>
      <c r="J11" s="934"/>
      <c r="K11" s="936" t="s">
        <v>4534</v>
      </c>
      <c r="L11" s="936"/>
      <c r="M11" s="935" t="str">
        <f ca="1">IFERROR(VLOOKUP(C3,法术大全!A:W,7,FALSE),"")</f>
        <v/>
      </c>
      <c r="N11" s="935"/>
      <c r="O11" s="935"/>
      <c r="P11" s="935"/>
      <c r="Q11" s="935"/>
      <c r="R11" s="935"/>
      <c r="S11" s="939"/>
      <c r="T11" s="329"/>
      <c r="U11" s="315">
        <v>9</v>
      </c>
      <c r="V11" s="9" t="str">
        <f>IFERROR(VLOOKUP(X11,法术大全!A:W,2,FALSE),"")</f>
        <v/>
      </c>
      <c r="W11" s="10" t="str">
        <f>数据表!C10</f>
        <v/>
      </c>
      <c r="X11" s="245"/>
      <c r="Y11" s="273" t="str">
        <f>数据表!D10</f>
        <v/>
      </c>
      <c r="Z11" s="315">
        <v>59</v>
      </c>
      <c r="AA11" s="11" t="str">
        <f>IFERROR(VLOOKUP(AC11,法术大全!A:W,2,FALSE),"")</f>
        <v/>
      </c>
      <c r="AB11" s="12" t="str">
        <f>数据表!C60</f>
        <v/>
      </c>
      <c r="AC11" s="245"/>
      <c r="AD11" s="273" t="str">
        <f>数据表!D60</f>
        <v/>
      </c>
      <c r="AE11" s="316">
        <v>109</v>
      </c>
      <c r="AF11" s="9" t="str">
        <f>IFERROR(VLOOKUP(AH11,法术大全!A:W,2,FALSE),"")</f>
        <v/>
      </c>
      <c r="AG11" s="10" t="str">
        <f>数据表!C110</f>
        <v/>
      </c>
      <c r="AH11" s="245"/>
      <c r="AI11" s="273" t="str">
        <f>数据表!D110</f>
        <v/>
      </c>
      <c r="AJ11" s="318">
        <v>159</v>
      </c>
      <c r="AK11" s="11" t="str">
        <f>IFERROR(VLOOKUP(AM11,法术大全!A:W,2,FALSE),"")</f>
        <v/>
      </c>
      <c r="AL11" s="10" t="str">
        <f>数据表!C160</f>
        <v/>
      </c>
      <c r="AM11" s="245"/>
      <c r="AN11" s="273" t="str">
        <f>数据表!D160</f>
        <v/>
      </c>
      <c r="AO11" s="328"/>
      <c r="AQ11" s="923"/>
      <c r="AR11" s="924"/>
      <c r="AS11" s="924"/>
      <c r="AT11" s="924"/>
      <c r="AU11" s="924"/>
      <c r="AV11" s="924"/>
      <c r="AW11" s="924"/>
      <c r="AX11" s="925"/>
    </row>
    <row r="12" spans="2:50" ht="17.55" customHeight="1">
      <c r="B12" s="940"/>
      <c r="C12" s="936"/>
      <c r="D12" s="936"/>
      <c r="E12" s="934"/>
      <c r="F12" s="934"/>
      <c r="G12" s="934"/>
      <c r="H12" s="934"/>
      <c r="I12" s="934"/>
      <c r="J12" s="934"/>
      <c r="K12" s="936"/>
      <c r="L12" s="936"/>
      <c r="M12" s="935"/>
      <c r="N12" s="935"/>
      <c r="O12" s="935"/>
      <c r="P12" s="935"/>
      <c r="Q12" s="935"/>
      <c r="R12" s="935"/>
      <c r="S12" s="939"/>
      <c r="T12" s="329"/>
      <c r="U12" s="315">
        <v>10</v>
      </c>
      <c r="V12" s="9" t="str">
        <f>IFERROR(VLOOKUP(X12,法术大全!A:W,2,FALSE),"")</f>
        <v/>
      </c>
      <c r="W12" s="10" t="str">
        <f>数据表!C11</f>
        <v/>
      </c>
      <c r="X12" s="245"/>
      <c r="Y12" s="273" t="str">
        <f>数据表!D11</f>
        <v/>
      </c>
      <c r="Z12" s="315">
        <v>60</v>
      </c>
      <c r="AA12" s="11" t="str">
        <f>IFERROR(VLOOKUP(AC12,法术大全!A:W,2,FALSE),"")</f>
        <v/>
      </c>
      <c r="AB12" s="12" t="str">
        <f>数据表!C61</f>
        <v/>
      </c>
      <c r="AC12" s="245"/>
      <c r="AD12" s="273" t="str">
        <f>数据表!D61</f>
        <v/>
      </c>
      <c r="AE12" s="316">
        <v>110</v>
      </c>
      <c r="AF12" s="9" t="str">
        <f>IFERROR(VLOOKUP(AH12,法术大全!A:W,2,FALSE),"")</f>
        <v/>
      </c>
      <c r="AG12" s="10" t="str">
        <f>数据表!C111</f>
        <v/>
      </c>
      <c r="AH12" s="245"/>
      <c r="AI12" s="273" t="str">
        <f>数据表!D111</f>
        <v/>
      </c>
      <c r="AJ12" s="318">
        <v>160</v>
      </c>
      <c r="AK12" s="11" t="str">
        <f>IFERROR(VLOOKUP(AM12,法术大全!A:W,2,FALSE),"")</f>
        <v/>
      </c>
      <c r="AL12" s="10" t="str">
        <f>数据表!C161</f>
        <v/>
      </c>
      <c r="AM12" s="245"/>
      <c r="AN12" s="273" t="str">
        <f>数据表!D161</f>
        <v/>
      </c>
      <c r="AO12" s="328"/>
      <c r="AQ12" s="923"/>
      <c r="AR12" s="924"/>
      <c r="AS12" s="924"/>
      <c r="AT12" s="924"/>
      <c r="AU12" s="924"/>
      <c r="AV12" s="924"/>
      <c r="AW12" s="924"/>
      <c r="AX12" s="925"/>
    </row>
    <row r="13" spans="2:50" ht="17.55" customHeight="1">
      <c r="B13" s="940"/>
      <c r="C13" s="936" t="s">
        <v>4538</v>
      </c>
      <c r="D13" s="936"/>
      <c r="E13" s="941" t="str">
        <f ca="1">IF(C3="","",CONCATENATE(IF(VLOOKUP(C3,法术大全!A:W,8,0)="V","语言（V）",""),IF(VLOOKUP(C3,法术大全!A:W,9,0)="S","姿势（S）",""),IF(VLOOKUP(C3,法术大全!A:W,10,0)="M","材料(M)","")))</f>
        <v/>
      </c>
      <c r="F13" s="936" t="s">
        <v>4539</v>
      </c>
      <c r="G13" s="936"/>
      <c r="H13" s="937" t="str">
        <f ca="1">IFERROR(IF(VLOOKUP(C3,法术大全!A:W,10,FALSE)="M",VLOOKUP(C3,法术大全!A:W,11,FALSE),"无"),"")</f>
        <v>无</v>
      </c>
      <c r="I13" s="937"/>
      <c r="J13" s="937"/>
      <c r="K13" s="937"/>
      <c r="L13" s="937"/>
      <c r="M13" s="937"/>
      <c r="N13" s="937"/>
      <c r="O13" s="937"/>
      <c r="P13" s="937"/>
      <c r="Q13" s="937"/>
      <c r="R13" s="937"/>
      <c r="S13" s="939"/>
      <c r="T13" s="329"/>
      <c r="U13" s="315">
        <v>11</v>
      </c>
      <c r="V13" s="9" t="str">
        <f>IFERROR(VLOOKUP(X13,法术大全!A:W,2,FALSE),"")</f>
        <v/>
      </c>
      <c r="W13" s="10" t="str">
        <f>数据表!C12</f>
        <v/>
      </c>
      <c r="X13" s="245"/>
      <c r="Y13" s="273" t="str">
        <f>数据表!D12</f>
        <v/>
      </c>
      <c r="Z13" s="315">
        <v>61</v>
      </c>
      <c r="AA13" s="11" t="str">
        <f>IFERROR(VLOOKUP(AC13,法术大全!A:W,2,FALSE),"")</f>
        <v/>
      </c>
      <c r="AB13" s="12" t="str">
        <f>数据表!C62</f>
        <v/>
      </c>
      <c r="AC13" s="245"/>
      <c r="AD13" s="273" t="str">
        <f>数据表!D62</f>
        <v/>
      </c>
      <c r="AE13" s="316">
        <v>111</v>
      </c>
      <c r="AF13" s="9" t="str">
        <f>IFERROR(VLOOKUP(AH13,法术大全!A:W,2,FALSE),"")</f>
        <v/>
      </c>
      <c r="AG13" s="10" t="str">
        <f>数据表!C112</f>
        <v/>
      </c>
      <c r="AH13" s="245"/>
      <c r="AI13" s="273" t="str">
        <f>数据表!D112</f>
        <v/>
      </c>
      <c r="AJ13" s="318">
        <v>161</v>
      </c>
      <c r="AK13" s="11" t="str">
        <f>IFERROR(VLOOKUP(AM13,法术大全!A:W,2,FALSE),"")</f>
        <v/>
      </c>
      <c r="AL13" s="10" t="str">
        <f>数据表!C162</f>
        <v/>
      </c>
      <c r="AM13" s="245"/>
      <c r="AN13" s="273" t="str">
        <f>数据表!D162</f>
        <v/>
      </c>
      <c r="AO13" s="328"/>
      <c r="AQ13" s="923"/>
      <c r="AR13" s="924"/>
      <c r="AS13" s="924"/>
      <c r="AT13" s="924"/>
      <c r="AU13" s="924"/>
      <c r="AV13" s="924"/>
      <c r="AW13" s="924"/>
      <c r="AX13" s="925"/>
    </row>
    <row r="14" spans="2:50" ht="17.55" customHeight="1">
      <c r="B14" s="940"/>
      <c r="C14" s="936"/>
      <c r="D14" s="936"/>
      <c r="E14" s="941"/>
      <c r="F14" s="936"/>
      <c r="G14" s="936"/>
      <c r="H14" s="937"/>
      <c r="I14" s="937"/>
      <c r="J14" s="937"/>
      <c r="K14" s="937"/>
      <c r="L14" s="937"/>
      <c r="M14" s="937"/>
      <c r="N14" s="937"/>
      <c r="O14" s="937"/>
      <c r="P14" s="937"/>
      <c r="Q14" s="937"/>
      <c r="R14" s="937"/>
      <c r="S14" s="939"/>
      <c r="T14" s="329"/>
      <c r="U14" s="315">
        <v>12</v>
      </c>
      <c r="V14" s="9" t="str">
        <f>IFERROR(VLOOKUP(X14,法术大全!A:W,2,FALSE),"")</f>
        <v/>
      </c>
      <c r="W14" s="10" t="str">
        <f>数据表!C13</f>
        <v/>
      </c>
      <c r="X14" s="245"/>
      <c r="Y14" s="273" t="str">
        <f>数据表!D13</f>
        <v/>
      </c>
      <c r="Z14" s="315">
        <v>62</v>
      </c>
      <c r="AA14" s="11" t="str">
        <f>IFERROR(VLOOKUP(AC14,法术大全!A:W,2,FALSE),"")</f>
        <v/>
      </c>
      <c r="AB14" s="12" t="str">
        <f>数据表!C63</f>
        <v/>
      </c>
      <c r="AC14" s="245"/>
      <c r="AD14" s="273" t="str">
        <f>数据表!D63</f>
        <v/>
      </c>
      <c r="AE14" s="316">
        <v>112</v>
      </c>
      <c r="AF14" s="9" t="str">
        <f>IFERROR(VLOOKUP(AH14,法术大全!A:W,2,FALSE),"")</f>
        <v/>
      </c>
      <c r="AG14" s="10" t="str">
        <f>数据表!C113</f>
        <v/>
      </c>
      <c r="AH14" s="245"/>
      <c r="AI14" s="273" t="str">
        <f>数据表!D113</f>
        <v/>
      </c>
      <c r="AJ14" s="318">
        <v>162</v>
      </c>
      <c r="AK14" s="11" t="str">
        <f>IFERROR(VLOOKUP(AM14,法术大全!A:W,2,FALSE),"")</f>
        <v/>
      </c>
      <c r="AL14" s="10" t="str">
        <f>数据表!C163</f>
        <v/>
      </c>
      <c r="AM14" s="245"/>
      <c r="AN14" s="273" t="str">
        <f>数据表!D163</f>
        <v/>
      </c>
      <c r="AO14" s="328"/>
      <c r="AQ14" s="923"/>
      <c r="AR14" s="924"/>
      <c r="AS14" s="924"/>
      <c r="AT14" s="924"/>
      <c r="AU14" s="924"/>
      <c r="AV14" s="924"/>
      <c r="AW14" s="924"/>
      <c r="AX14" s="925"/>
    </row>
    <row r="15" spans="2:50" ht="17.55" customHeight="1">
      <c r="B15" s="940"/>
      <c r="C15" s="936"/>
      <c r="D15" s="936"/>
      <c r="E15" s="941"/>
      <c r="F15" s="936"/>
      <c r="G15" s="936"/>
      <c r="H15" s="937"/>
      <c r="I15" s="937"/>
      <c r="J15" s="937"/>
      <c r="K15" s="937"/>
      <c r="L15" s="937"/>
      <c r="M15" s="937"/>
      <c r="N15" s="937"/>
      <c r="O15" s="937"/>
      <c r="P15" s="937"/>
      <c r="Q15" s="937"/>
      <c r="R15" s="937"/>
      <c r="S15" s="939"/>
      <c r="T15" s="329"/>
      <c r="U15" s="315">
        <v>13</v>
      </c>
      <c r="V15" s="9" t="str">
        <f>IFERROR(VLOOKUP(X15,法术大全!A:W,2,FALSE),"")</f>
        <v/>
      </c>
      <c r="W15" s="10" t="str">
        <f>数据表!C14</f>
        <v/>
      </c>
      <c r="X15" s="245"/>
      <c r="Y15" s="273" t="str">
        <f>数据表!D14</f>
        <v/>
      </c>
      <c r="Z15" s="315">
        <v>63</v>
      </c>
      <c r="AA15" s="11" t="str">
        <f>IFERROR(VLOOKUP(AC15,法术大全!A:W,2,FALSE),"")</f>
        <v/>
      </c>
      <c r="AB15" s="12" t="str">
        <f>数据表!C64</f>
        <v/>
      </c>
      <c r="AC15" s="245"/>
      <c r="AD15" s="273" t="str">
        <f>数据表!D64</f>
        <v/>
      </c>
      <c r="AE15" s="316">
        <v>113</v>
      </c>
      <c r="AF15" s="9" t="str">
        <f>IFERROR(VLOOKUP(AH15,法术大全!A:W,2,FALSE),"")</f>
        <v/>
      </c>
      <c r="AG15" s="10" t="str">
        <f>数据表!C114</f>
        <v/>
      </c>
      <c r="AH15" s="245"/>
      <c r="AI15" s="273" t="str">
        <f>数据表!D114</f>
        <v/>
      </c>
      <c r="AJ15" s="318">
        <v>163</v>
      </c>
      <c r="AK15" s="11" t="str">
        <f>IFERROR(VLOOKUP(AM15,法术大全!A:W,2,FALSE),"")</f>
        <v/>
      </c>
      <c r="AL15" s="10" t="str">
        <f>数据表!C164</f>
        <v/>
      </c>
      <c r="AM15" s="245"/>
      <c r="AN15" s="273" t="str">
        <f>数据表!D164</f>
        <v/>
      </c>
      <c r="AO15" s="328"/>
      <c r="AQ15" s="923"/>
      <c r="AR15" s="924"/>
      <c r="AS15" s="924"/>
      <c r="AT15" s="924"/>
      <c r="AU15" s="924"/>
      <c r="AV15" s="924"/>
      <c r="AW15" s="924"/>
      <c r="AX15" s="925"/>
    </row>
    <row r="16" spans="2:50" ht="17.55" customHeight="1">
      <c r="B16" s="940"/>
      <c r="C16" s="936"/>
      <c r="D16" s="936"/>
      <c r="E16" s="941"/>
      <c r="F16" s="936"/>
      <c r="G16" s="936"/>
      <c r="H16" s="937"/>
      <c r="I16" s="937"/>
      <c r="J16" s="937"/>
      <c r="K16" s="937"/>
      <c r="L16" s="937"/>
      <c r="M16" s="937"/>
      <c r="N16" s="937"/>
      <c r="O16" s="937"/>
      <c r="P16" s="937"/>
      <c r="Q16" s="937"/>
      <c r="R16" s="937"/>
      <c r="S16" s="939"/>
      <c r="T16" s="329"/>
      <c r="U16" s="315">
        <v>14</v>
      </c>
      <c r="V16" s="9" t="str">
        <f>IFERROR(VLOOKUP(X16,法术大全!A:W,2,FALSE),"")</f>
        <v/>
      </c>
      <c r="W16" s="10" t="str">
        <f>数据表!C15</f>
        <v/>
      </c>
      <c r="X16" s="245"/>
      <c r="Y16" s="273" t="str">
        <f>数据表!D15</f>
        <v/>
      </c>
      <c r="Z16" s="315">
        <v>64</v>
      </c>
      <c r="AA16" s="11" t="str">
        <f>IFERROR(VLOOKUP(AC16,法术大全!A:W,2,FALSE),"")</f>
        <v/>
      </c>
      <c r="AB16" s="12" t="str">
        <f>数据表!C65</f>
        <v/>
      </c>
      <c r="AC16" s="245"/>
      <c r="AD16" s="273" t="str">
        <f>数据表!D65</f>
        <v/>
      </c>
      <c r="AE16" s="316">
        <v>114</v>
      </c>
      <c r="AF16" s="9" t="str">
        <f>IFERROR(VLOOKUP(AH16,法术大全!A:W,2,FALSE),"")</f>
        <v/>
      </c>
      <c r="AG16" s="10" t="str">
        <f>数据表!C115</f>
        <v/>
      </c>
      <c r="AH16" s="245"/>
      <c r="AI16" s="273" t="str">
        <f>数据表!D115</f>
        <v/>
      </c>
      <c r="AJ16" s="318">
        <v>164</v>
      </c>
      <c r="AK16" s="11" t="str">
        <f>IFERROR(VLOOKUP(AM16,法术大全!A:W,2,FALSE),"")</f>
        <v/>
      </c>
      <c r="AL16" s="10" t="str">
        <f>数据表!C165</f>
        <v/>
      </c>
      <c r="AM16" s="245"/>
      <c r="AN16" s="273" t="str">
        <f>数据表!D165</f>
        <v/>
      </c>
      <c r="AO16" s="328"/>
      <c r="AQ16" s="923"/>
      <c r="AR16" s="924"/>
      <c r="AS16" s="924"/>
      <c r="AT16" s="924"/>
      <c r="AU16" s="924"/>
      <c r="AV16" s="924"/>
      <c r="AW16" s="924"/>
      <c r="AX16" s="925"/>
    </row>
    <row r="17" spans="2:50" ht="17.55" customHeight="1">
      <c r="B17" s="940"/>
      <c r="C17" s="936"/>
      <c r="D17" s="936"/>
      <c r="E17" s="941"/>
      <c r="F17" s="936"/>
      <c r="G17" s="936"/>
      <c r="H17" s="937"/>
      <c r="I17" s="937"/>
      <c r="J17" s="937"/>
      <c r="K17" s="937"/>
      <c r="L17" s="937"/>
      <c r="M17" s="937"/>
      <c r="N17" s="937"/>
      <c r="O17" s="937"/>
      <c r="P17" s="937"/>
      <c r="Q17" s="937"/>
      <c r="R17" s="937"/>
      <c r="S17" s="939"/>
      <c r="T17" s="329"/>
      <c r="U17" s="315">
        <v>15</v>
      </c>
      <c r="V17" s="9" t="str">
        <f>IFERROR(VLOOKUP(X17,法术大全!A:W,2,FALSE),"")</f>
        <v/>
      </c>
      <c r="W17" s="10" t="str">
        <f>数据表!C16</f>
        <v/>
      </c>
      <c r="X17" s="245"/>
      <c r="Y17" s="273" t="str">
        <f>数据表!D16</f>
        <v/>
      </c>
      <c r="Z17" s="315">
        <v>65</v>
      </c>
      <c r="AA17" s="11" t="str">
        <f>IFERROR(VLOOKUP(AC17,法术大全!A:W,2,FALSE),"")</f>
        <v/>
      </c>
      <c r="AB17" s="12" t="str">
        <f>数据表!C66</f>
        <v/>
      </c>
      <c r="AC17" s="245"/>
      <c r="AD17" s="273" t="str">
        <f>数据表!D66</f>
        <v/>
      </c>
      <c r="AE17" s="316">
        <v>115</v>
      </c>
      <c r="AF17" s="9" t="str">
        <f>IFERROR(VLOOKUP(AH17,法术大全!A:W,2,FALSE),"")</f>
        <v/>
      </c>
      <c r="AG17" s="10" t="str">
        <f>数据表!C116</f>
        <v/>
      </c>
      <c r="AH17" s="245"/>
      <c r="AI17" s="273" t="str">
        <f>数据表!D116</f>
        <v/>
      </c>
      <c r="AJ17" s="318">
        <v>165</v>
      </c>
      <c r="AK17" s="11" t="str">
        <f>IFERROR(VLOOKUP(AM17,法术大全!A:W,2,FALSE),"")</f>
        <v/>
      </c>
      <c r="AL17" s="10" t="str">
        <f>数据表!C166</f>
        <v/>
      </c>
      <c r="AM17" s="245"/>
      <c r="AN17" s="273" t="str">
        <f>数据表!D166</f>
        <v/>
      </c>
      <c r="AO17" s="328"/>
      <c r="AQ17" s="923"/>
      <c r="AR17" s="924"/>
      <c r="AS17" s="924"/>
      <c r="AT17" s="924"/>
      <c r="AU17" s="924"/>
      <c r="AV17" s="924"/>
      <c r="AW17" s="924"/>
      <c r="AX17" s="925"/>
    </row>
    <row r="18" spans="2:50" ht="17.55" customHeight="1">
      <c r="B18" s="940"/>
      <c r="C18" s="936"/>
      <c r="D18" s="936"/>
      <c r="E18" s="941"/>
      <c r="F18" s="936"/>
      <c r="G18" s="936"/>
      <c r="H18" s="937"/>
      <c r="I18" s="937"/>
      <c r="J18" s="937"/>
      <c r="K18" s="937"/>
      <c r="L18" s="937"/>
      <c r="M18" s="937"/>
      <c r="N18" s="937"/>
      <c r="O18" s="937"/>
      <c r="P18" s="937"/>
      <c r="Q18" s="937"/>
      <c r="R18" s="937"/>
      <c r="S18" s="939"/>
      <c r="T18" s="329"/>
      <c r="U18" s="315">
        <v>16</v>
      </c>
      <c r="V18" s="9" t="str">
        <f>IFERROR(VLOOKUP(X18,法术大全!A:W,2,FALSE),"")</f>
        <v/>
      </c>
      <c r="W18" s="10" t="str">
        <f>数据表!C17</f>
        <v/>
      </c>
      <c r="X18" s="245"/>
      <c r="Y18" s="273" t="str">
        <f>数据表!D17</f>
        <v/>
      </c>
      <c r="Z18" s="315">
        <v>66</v>
      </c>
      <c r="AA18" s="11" t="str">
        <f>IFERROR(VLOOKUP(AC18,法术大全!A:W,2,FALSE),"")</f>
        <v/>
      </c>
      <c r="AB18" s="12" t="str">
        <f>数据表!C67</f>
        <v/>
      </c>
      <c r="AC18" s="245"/>
      <c r="AD18" s="273" t="str">
        <f>数据表!D67</f>
        <v/>
      </c>
      <c r="AE18" s="316">
        <v>116</v>
      </c>
      <c r="AF18" s="9" t="str">
        <f>IFERROR(VLOOKUP(AH18,法术大全!A:W,2,FALSE),"")</f>
        <v/>
      </c>
      <c r="AG18" s="10" t="str">
        <f>数据表!C117</f>
        <v/>
      </c>
      <c r="AH18" s="245"/>
      <c r="AI18" s="273" t="str">
        <f>数据表!D117</f>
        <v/>
      </c>
      <c r="AJ18" s="318">
        <v>166</v>
      </c>
      <c r="AK18" s="11" t="str">
        <f>IFERROR(VLOOKUP(AM18,法术大全!A:W,2,FALSE),"")</f>
        <v/>
      </c>
      <c r="AL18" s="10" t="str">
        <f>数据表!C167</f>
        <v/>
      </c>
      <c r="AM18" s="245"/>
      <c r="AN18" s="273" t="str">
        <f>数据表!D167</f>
        <v/>
      </c>
      <c r="AO18" s="328"/>
      <c r="AQ18" s="923"/>
      <c r="AR18" s="924"/>
      <c r="AS18" s="924"/>
      <c r="AT18" s="924"/>
      <c r="AU18" s="924"/>
      <c r="AV18" s="924"/>
      <c r="AW18" s="924"/>
      <c r="AX18" s="925"/>
    </row>
    <row r="19" spans="2:50" ht="17.55" customHeight="1">
      <c r="B19" s="940"/>
      <c r="C19" s="936" t="s">
        <v>4540</v>
      </c>
      <c r="D19" s="936"/>
      <c r="E19" s="934" t="str">
        <f ca="1">IFERROR(VLOOKUP(C3,法术大全!A:W,12,FALSE),"")</f>
        <v/>
      </c>
      <c r="F19" s="934"/>
      <c r="G19" s="934"/>
      <c r="H19" s="934"/>
      <c r="I19" s="934"/>
      <c r="J19" s="934"/>
      <c r="K19" s="934"/>
      <c r="L19" s="934"/>
      <c r="M19" s="934"/>
      <c r="N19" s="934"/>
      <c r="O19" s="934"/>
      <c r="P19" s="934"/>
      <c r="Q19" s="934"/>
      <c r="R19" s="934"/>
      <c r="S19" s="939"/>
      <c r="T19" s="329"/>
      <c r="U19" s="315">
        <v>17</v>
      </c>
      <c r="V19" s="9" t="str">
        <f>IFERROR(VLOOKUP(X19,法术大全!A:W,2,FALSE),"")</f>
        <v/>
      </c>
      <c r="W19" s="10" t="str">
        <f>数据表!C18</f>
        <v/>
      </c>
      <c r="X19" s="245"/>
      <c r="Y19" s="273" t="str">
        <f>数据表!D18</f>
        <v/>
      </c>
      <c r="Z19" s="315">
        <v>67</v>
      </c>
      <c r="AA19" s="11" t="str">
        <f>IFERROR(VLOOKUP(AC19,法术大全!A:W,2,FALSE),"")</f>
        <v/>
      </c>
      <c r="AB19" s="12" t="str">
        <f>数据表!C68</f>
        <v/>
      </c>
      <c r="AC19" s="245"/>
      <c r="AD19" s="273" t="str">
        <f>数据表!D68</f>
        <v/>
      </c>
      <c r="AE19" s="316">
        <v>117</v>
      </c>
      <c r="AF19" s="9" t="str">
        <f>IFERROR(VLOOKUP(AH19,法术大全!A:W,2,FALSE),"")</f>
        <v/>
      </c>
      <c r="AG19" s="10" t="str">
        <f>数据表!C118</f>
        <v/>
      </c>
      <c r="AH19" s="245"/>
      <c r="AI19" s="273" t="str">
        <f>数据表!D118</f>
        <v/>
      </c>
      <c r="AJ19" s="318">
        <v>167</v>
      </c>
      <c r="AK19" s="11" t="str">
        <f>IFERROR(VLOOKUP(AM19,法术大全!A:W,2,FALSE),"")</f>
        <v/>
      </c>
      <c r="AL19" s="10" t="str">
        <f>数据表!C168</f>
        <v/>
      </c>
      <c r="AM19" s="245"/>
      <c r="AN19" s="273" t="str">
        <f>数据表!D168</f>
        <v/>
      </c>
      <c r="AO19" s="328"/>
      <c r="AQ19" s="923"/>
      <c r="AR19" s="924"/>
      <c r="AS19" s="924"/>
      <c r="AT19" s="924"/>
      <c r="AU19" s="924"/>
      <c r="AV19" s="924"/>
      <c r="AW19" s="924"/>
      <c r="AX19" s="925"/>
    </row>
    <row r="20" spans="2:50" ht="17.55" customHeight="1">
      <c r="B20" s="940"/>
      <c r="C20" s="936"/>
      <c r="D20" s="936"/>
      <c r="E20" s="934"/>
      <c r="F20" s="934"/>
      <c r="G20" s="934"/>
      <c r="H20" s="934"/>
      <c r="I20" s="934"/>
      <c r="J20" s="934"/>
      <c r="K20" s="934"/>
      <c r="L20" s="934"/>
      <c r="M20" s="934"/>
      <c r="N20" s="934"/>
      <c r="O20" s="934"/>
      <c r="P20" s="934"/>
      <c r="Q20" s="934"/>
      <c r="R20" s="934"/>
      <c r="S20" s="939"/>
      <c r="T20" s="329"/>
      <c r="U20" s="315">
        <v>18</v>
      </c>
      <c r="V20" s="9" t="str">
        <f>IFERROR(VLOOKUP(X20,法术大全!A:W,2,FALSE),"")</f>
        <v/>
      </c>
      <c r="W20" s="10" t="str">
        <f>数据表!C19</f>
        <v/>
      </c>
      <c r="X20" s="245"/>
      <c r="Y20" s="273" t="str">
        <f>数据表!D19</f>
        <v/>
      </c>
      <c r="Z20" s="315">
        <v>68</v>
      </c>
      <c r="AA20" s="11" t="str">
        <f>IFERROR(VLOOKUP(AC20,法术大全!A:W,2,FALSE),"")</f>
        <v/>
      </c>
      <c r="AB20" s="12" t="str">
        <f>数据表!C69</f>
        <v/>
      </c>
      <c r="AC20" s="245"/>
      <c r="AD20" s="273" t="str">
        <f>数据表!D69</f>
        <v/>
      </c>
      <c r="AE20" s="316">
        <v>118</v>
      </c>
      <c r="AF20" s="9" t="str">
        <f>IFERROR(VLOOKUP(AH20,法术大全!A:W,2,FALSE),"")</f>
        <v/>
      </c>
      <c r="AG20" s="10" t="str">
        <f>数据表!C119</f>
        <v/>
      </c>
      <c r="AH20" s="245"/>
      <c r="AI20" s="273" t="str">
        <f>数据表!D119</f>
        <v/>
      </c>
      <c r="AJ20" s="318">
        <v>168</v>
      </c>
      <c r="AK20" s="11" t="str">
        <f>IFERROR(VLOOKUP(AM20,法术大全!A:W,2,FALSE),"")</f>
        <v/>
      </c>
      <c r="AL20" s="10" t="str">
        <f>数据表!C169</f>
        <v/>
      </c>
      <c r="AM20" s="245"/>
      <c r="AN20" s="273" t="str">
        <f>数据表!D169</f>
        <v/>
      </c>
      <c r="AO20" s="328"/>
      <c r="AQ20" s="923"/>
      <c r="AR20" s="924"/>
      <c r="AS20" s="924"/>
      <c r="AT20" s="924"/>
      <c r="AU20" s="924"/>
      <c r="AV20" s="924"/>
      <c r="AW20" s="924"/>
      <c r="AX20" s="925"/>
    </row>
    <row r="21" spans="2:50" ht="17.55" customHeight="1">
      <c r="B21" s="940"/>
      <c r="C21" s="931"/>
      <c r="D21" s="931"/>
      <c r="E21" s="931"/>
      <c r="F21" s="931"/>
      <c r="G21" s="931"/>
      <c r="H21" s="931"/>
      <c r="I21" s="931"/>
      <c r="J21" s="931"/>
      <c r="K21" s="931"/>
      <c r="L21" s="931"/>
      <c r="M21" s="931"/>
      <c r="N21" s="931"/>
      <c r="O21" s="931"/>
      <c r="P21" s="931"/>
      <c r="Q21" s="931"/>
      <c r="R21" s="931"/>
      <c r="S21" s="939"/>
      <c r="T21" s="329"/>
      <c r="U21" s="315">
        <v>19</v>
      </c>
      <c r="V21" s="9" t="str">
        <f>IFERROR(VLOOKUP(X21,法术大全!A:W,2,FALSE),"")</f>
        <v/>
      </c>
      <c r="W21" s="10" t="str">
        <f>数据表!C20</f>
        <v/>
      </c>
      <c r="X21" s="245"/>
      <c r="Y21" s="273" t="str">
        <f>数据表!D20</f>
        <v/>
      </c>
      <c r="Z21" s="315">
        <v>69</v>
      </c>
      <c r="AA21" s="11" t="str">
        <f>IFERROR(VLOOKUP(AC21,法术大全!A:W,2,FALSE),"")</f>
        <v/>
      </c>
      <c r="AB21" s="12" t="str">
        <f>数据表!C70</f>
        <v/>
      </c>
      <c r="AC21" s="245"/>
      <c r="AD21" s="273" t="str">
        <f>数据表!D70</f>
        <v/>
      </c>
      <c r="AE21" s="316">
        <v>119</v>
      </c>
      <c r="AF21" s="9" t="str">
        <f>IFERROR(VLOOKUP(AH21,法术大全!A:W,2,FALSE),"")</f>
        <v/>
      </c>
      <c r="AG21" s="10" t="str">
        <f>数据表!C120</f>
        <v/>
      </c>
      <c r="AH21" s="245"/>
      <c r="AI21" s="273" t="str">
        <f>数据表!D120</f>
        <v/>
      </c>
      <c r="AJ21" s="318">
        <v>169</v>
      </c>
      <c r="AK21" s="11" t="str">
        <f>IFERROR(VLOOKUP(AM21,法术大全!A:W,2,FALSE),"")</f>
        <v/>
      </c>
      <c r="AL21" s="10" t="str">
        <f>数据表!C170</f>
        <v/>
      </c>
      <c r="AM21" s="245"/>
      <c r="AN21" s="273" t="str">
        <f>数据表!D170</f>
        <v/>
      </c>
      <c r="AO21" s="328"/>
      <c r="AQ21" s="923"/>
      <c r="AR21" s="924"/>
      <c r="AS21" s="924"/>
      <c r="AT21" s="924"/>
      <c r="AU21" s="924"/>
      <c r="AV21" s="924"/>
      <c r="AW21" s="924"/>
      <c r="AX21" s="925"/>
    </row>
    <row r="22" spans="2:50" ht="17.55" customHeight="1">
      <c r="B22" s="940"/>
      <c r="C22" s="932" t="s">
        <v>4541</v>
      </c>
      <c r="D22" s="933"/>
      <c r="E22" s="933"/>
      <c r="F22" s="330"/>
      <c r="G22" s="931"/>
      <c r="H22" s="931"/>
      <c r="I22" s="931"/>
      <c r="J22" s="931"/>
      <c r="K22" s="931"/>
      <c r="L22" s="931"/>
      <c r="M22" s="931"/>
      <c r="N22" s="931"/>
      <c r="O22" s="931"/>
      <c r="P22" s="931"/>
      <c r="Q22" s="931"/>
      <c r="R22" s="931"/>
      <c r="S22" s="939"/>
      <c r="T22" s="329"/>
      <c r="U22" s="315">
        <v>20</v>
      </c>
      <c r="V22" s="9" t="str">
        <f>IFERROR(VLOOKUP(X22,法术大全!A:W,2,FALSE),"")</f>
        <v/>
      </c>
      <c r="W22" s="10" t="str">
        <f>数据表!C21</f>
        <v/>
      </c>
      <c r="X22" s="245"/>
      <c r="Y22" s="273" t="str">
        <f>数据表!D21</f>
        <v/>
      </c>
      <c r="Z22" s="315">
        <v>70</v>
      </c>
      <c r="AA22" s="11" t="str">
        <f>IFERROR(VLOOKUP(AC22,法术大全!A:W,2,FALSE),"")</f>
        <v/>
      </c>
      <c r="AB22" s="12" t="str">
        <f>数据表!C71</f>
        <v/>
      </c>
      <c r="AC22" s="245"/>
      <c r="AD22" s="273" t="str">
        <f>数据表!D71</f>
        <v/>
      </c>
      <c r="AE22" s="316">
        <v>120</v>
      </c>
      <c r="AF22" s="9" t="str">
        <f>IFERROR(VLOOKUP(AH22,法术大全!A:W,2,FALSE),"")</f>
        <v/>
      </c>
      <c r="AG22" s="10" t="str">
        <f>数据表!C121</f>
        <v/>
      </c>
      <c r="AH22" s="245"/>
      <c r="AI22" s="273" t="str">
        <f>数据表!D121</f>
        <v/>
      </c>
      <c r="AJ22" s="318">
        <v>170</v>
      </c>
      <c r="AK22" s="11" t="str">
        <f>IFERROR(VLOOKUP(AM22,法术大全!A:W,2,FALSE),"")</f>
        <v/>
      </c>
      <c r="AL22" s="10" t="str">
        <f>数据表!C171</f>
        <v/>
      </c>
      <c r="AM22" s="245"/>
      <c r="AN22" s="273" t="str">
        <f>数据表!D171</f>
        <v/>
      </c>
      <c r="AO22" s="328"/>
      <c r="AQ22" s="923"/>
      <c r="AR22" s="924"/>
      <c r="AS22" s="924"/>
      <c r="AT22" s="924"/>
      <c r="AU22" s="924"/>
      <c r="AV22" s="924"/>
      <c r="AW22" s="924"/>
      <c r="AX22" s="925"/>
    </row>
    <row r="23" spans="2:50" ht="17.55" customHeight="1">
      <c r="B23" s="940"/>
      <c r="C23" s="920" t="str">
        <f ca="1">IFERROR(VLOOKUP(C3,法术大全!A:W,13,FALSE),"")</f>
        <v/>
      </c>
      <c r="D23" s="921"/>
      <c r="E23" s="921"/>
      <c r="F23" s="921"/>
      <c r="G23" s="921"/>
      <c r="H23" s="921"/>
      <c r="I23" s="921"/>
      <c r="J23" s="921"/>
      <c r="K23" s="921"/>
      <c r="L23" s="921"/>
      <c r="M23" s="921"/>
      <c r="N23" s="921"/>
      <c r="O23" s="921"/>
      <c r="P23" s="921"/>
      <c r="Q23" s="921"/>
      <c r="R23" s="922"/>
      <c r="S23" s="939"/>
      <c r="T23" s="329"/>
      <c r="U23" s="315">
        <v>21</v>
      </c>
      <c r="V23" s="9" t="str">
        <f>IFERROR(VLOOKUP(X23,法术大全!A:W,2,FALSE),"")</f>
        <v/>
      </c>
      <c r="W23" s="10" t="str">
        <f>数据表!C22</f>
        <v/>
      </c>
      <c r="X23" s="245"/>
      <c r="Y23" s="273" t="str">
        <f>数据表!D22</f>
        <v/>
      </c>
      <c r="Z23" s="315">
        <v>71</v>
      </c>
      <c r="AA23" s="11" t="str">
        <f>IFERROR(VLOOKUP(AC23,法术大全!A:W,2,FALSE),"")</f>
        <v/>
      </c>
      <c r="AB23" s="12" t="str">
        <f>数据表!C72</f>
        <v/>
      </c>
      <c r="AC23" s="245"/>
      <c r="AD23" s="273" t="str">
        <f>数据表!D72</f>
        <v/>
      </c>
      <c r="AE23" s="316">
        <v>121</v>
      </c>
      <c r="AF23" s="9" t="str">
        <f>IFERROR(VLOOKUP(AH23,法术大全!A:W,2,FALSE),"")</f>
        <v/>
      </c>
      <c r="AG23" s="10" t="str">
        <f>数据表!C122</f>
        <v/>
      </c>
      <c r="AH23" s="245"/>
      <c r="AI23" s="273" t="str">
        <f>数据表!D122</f>
        <v/>
      </c>
      <c r="AJ23" s="318">
        <v>171</v>
      </c>
      <c r="AK23" s="11" t="str">
        <f>IFERROR(VLOOKUP(AM23,法术大全!A:W,2,FALSE),"")</f>
        <v/>
      </c>
      <c r="AL23" s="10" t="str">
        <f>数据表!C172</f>
        <v/>
      </c>
      <c r="AM23" s="245"/>
      <c r="AN23" s="273" t="str">
        <f>数据表!D172</f>
        <v/>
      </c>
      <c r="AO23" s="328"/>
      <c r="AQ23" s="923"/>
      <c r="AR23" s="924"/>
      <c r="AS23" s="924"/>
      <c r="AT23" s="924"/>
      <c r="AU23" s="924"/>
      <c r="AV23" s="924"/>
      <c r="AW23" s="924"/>
      <c r="AX23" s="925"/>
    </row>
    <row r="24" spans="2:50" ht="17.55" customHeight="1">
      <c r="B24" s="940"/>
      <c r="C24" s="923"/>
      <c r="D24" s="924"/>
      <c r="E24" s="924"/>
      <c r="F24" s="924"/>
      <c r="G24" s="924"/>
      <c r="H24" s="924"/>
      <c r="I24" s="924"/>
      <c r="J24" s="924"/>
      <c r="K24" s="924"/>
      <c r="L24" s="924"/>
      <c r="M24" s="924"/>
      <c r="N24" s="924"/>
      <c r="O24" s="924"/>
      <c r="P24" s="924"/>
      <c r="Q24" s="924"/>
      <c r="R24" s="925"/>
      <c r="S24" s="939"/>
      <c r="T24" s="329"/>
      <c r="U24" s="315">
        <v>22</v>
      </c>
      <c r="V24" s="9" t="str">
        <f>IFERROR(VLOOKUP(X24,法术大全!A:W,2,FALSE),"")</f>
        <v/>
      </c>
      <c r="W24" s="10" t="str">
        <f>数据表!C23</f>
        <v/>
      </c>
      <c r="X24" s="245"/>
      <c r="Y24" s="273" t="str">
        <f>数据表!D23</f>
        <v/>
      </c>
      <c r="Z24" s="315">
        <v>72</v>
      </c>
      <c r="AA24" s="11" t="str">
        <f>IFERROR(VLOOKUP(AC24,法术大全!A:W,2,FALSE),"")</f>
        <v/>
      </c>
      <c r="AB24" s="12" t="str">
        <f>数据表!C73</f>
        <v/>
      </c>
      <c r="AC24" s="245"/>
      <c r="AD24" s="273" t="str">
        <f>数据表!D73</f>
        <v/>
      </c>
      <c r="AE24" s="316">
        <v>122</v>
      </c>
      <c r="AF24" s="9" t="str">
        <f>IFERROR(VLOOKUP(AH24,法术大全!A:W,2,FALSE),"")</f>
        <v/>
      </c>
      <c r="AG24" s="10" t="str">
        <f>数据表!C123</f>
        <v/>
      </c>
      <c r="AH24" s="245"/>
      <c r="AI24" s="273" t="str">
        <f>数据表!D123</f>
        <v/>
      </c>
      <c r="AJ24" s="318">
        <v>172</v>
      </c>
      <c r="AK24" s="11" t="str">
        <f>IFERROR(VLOOKUP(AM24,法术大全!A:W,2,FALSE),"")</f>
        <v/>
      </c>
      <c r="AL24" s="10" t="str">
        <f>数据表!C173</f>
        <v/>
      </c>
      <c r="AM24" s="245"/>
      <c r="AN24" s="273" t="str">
        <f>数据表!D173</f>
        <v/>
      </c>
      <c r="AO24" s="328"/>
      <c r="AQ24" s="923"/>
      <c r="AR24" s="924"/>
      <c r="AS24" s="924"/>
      <c r="AT24" s="924"/>
      <c r="AU24" s="924"/>
      <c r="AV24" s="924"/>
      <c r="AW24" s="924"/>
      <c r="AX24" s="925"/>
    </row>
    <row r="25" spans="2:50" ht="17.55" customHeight="1">
      <c r="B25" s="940"/>
      <c r="C25" s="923"/>
      <c r="D25" s="924"/>
      <c r="E25" s="924"/>
      <c r="F25" s="924"/>
      <c r="G25" s="924"/>
      <c r="H25" s="924"/>
      <c r="I25" s="924"/>
      <c r="J25" s="924"/>
      <c r="K25" s="924"/>
      <c r="L25" s="924"/>
      <c r="M25" s="924"/>
      <c r="N25" s="924"/>
      <c r="O25" s="924"/>
      <c r="P25" s="924"/>
      <c r="Q25" s="924"/>
      <c r="R25" s="925"/>
      <c r="S25" s="939"/>
      <c r="T25" s="329"/>
      <c r="U25" s="315">
        <v>23</v>
      </c>
      <c r="V25" s="9" t="str">
        <f>IFERROR(VLOOKUP(X25,法术大全!A:W,2,FALSE),"")</f>
        <v/>
      </c>
      <c r="W25" s="10" t="str">
        <f>数据表!C24</f>
        <v/>
      </c>
      <c r="X25" s="245"/>
      <c r="Y25" s="273" t="str">
        <f>数据表!D24</f>
        <v/>
      </c>
      <c r="Z25" s="315">
        <v>73</v>
      </c>
      <c r="AA25" s="11" t="str">
        <f>IFERROR(VLOOKUP(AC25,法术大全!A:W,2,FALSE),"")</f>
        <v/>
      </c>
      <c r="AB25" s="12" t="str">
        <f>数据表!C74</f>
        <v/>
      </c>
      <c r="AC25" s="245"/>
      <c r="AD25" s="273" t="str">
        <f>数据表!D74</f>
        <v/>
      </c>
      <c r="AE25" s="316">
        <v>123</v>
      </c>
      <c r="AF25" s="9" t="str">
        <f>IFERROR(VLOOKUP(AH25,法术大全!A:W,2,FALSE),"")</f>
        <v/>
      </c>
      <c r="AG25" s="10" t="str">
        <f>数据表!C124</f>
        <v/>
      </c>
      <c r="AH25" s="245"/>
      <c r="AI25" s="273" t="str">
        <f>数据表!D124</f>
        <v/>
      </c>
      <c r="AJ25" s="318">
        <v>173</v>
      </c>
      <c r="AK25" s="11" t="str">
        <f>IFERROR(VLOOKUP(AM25,法术大全!A:W,2,FALSE),"")</f>
        <v/>
      </c>
      <c r="AL25" s="10" t="str">
        <f>数据表!C174</f>
        <v/>
      </c>
      <c r="AM25" s="245"/>
      <c r="AN25" s="273" t="str">
        <f>数据表!D174</f>
        <v/>
      </c>
      <c r="AO25" s="328"/>
      <c r="AQ25" s="923"/>
      <c r="AR25" s="924"/>
      <c r="AS25" s="924"/>
      <c r="AT25" s="924"/>
      <c r="AU25" s="924"/>
      <c r="AV25" s="924"/>
      <c r="AW25" s="924"/>
      <c r="AX25" s="925"/>
    </row>
    <row r="26" spans="2:50" ht="17.55" customHeight="1">
      <c r="B26" s="940"/>
      <c r="C26" s="923"/>
      <c r="D26" s="924"/>
      <c r="E26" s="924"/>
      <c r="F26" s="924"/>
      <c r="G26" s="924"/>
      <c r="H26" s="924"/>
      <c r="I26" s="924"/>
      <c r="J26" s="924"/>
      <c r="K26" s="924"/>
      <c r="L26" s="924"/>
      <c r="M26" s="924"/>
      <c r="N26" s="924"/>
      <c r="O26" s="924"/>
      <c r="P26" s="924"/>
      <c r="Q26" s="924"/>
      <c r="R26" s="925"/>
      <c r="S26" s="939"/>
      <c r="T26" s="329"/>
      <c r="U26" s="315">
        <v>24</v>
      </c>
      <c r="V26" s="9" t="str">
        <f>IFERROR(VLOOKUP(X26,法术大全!A:W,2,FALSE),"")</f>
        <v/>
      </c>
      <c r="W26" s="10" t="str">
        <f>数据表!C25</f>
        <v/>
      </c>
      <c r="X26" s="245"/>
      <c r="Y26" s="273" t="str">
        <f>数据表!D25</f>
        <v/>
      </c>
      <c r="Z26" s="315">
        <v>74</v>
      </c>
      <c r="AA26" s="11" t="str">
        <f>IFERROR(VLOOKUP(AC26,法术大全!A:W,2,FALSE),"")</f>
        <v/>
      </c>
      <c r="AB26" s="12" t="str">
        <f>数据表!C75</f>
        <v/>
      </c>
      <c r="AC26" s="245"/>
      <c r="AD26" s="273" t="str">
        <f>数据表!D75</f>
        <v/>
      </c>
      <c r="AE26" s="316">
        <v>124</v>
      </c>
      <c r="AF26" s="9" t="str">
        <f>IFERROR(VLOOKUP(AH26,法术大全!A:W,2,FALSE),"")</f>
        <v/>
      </c>
      <c r="AG26" s="10" t="str">
        <f>数据表!C125</f>
        <v/>
      </c>
      <c r="AH26" s="245"/>
      <c r="AI26" s="273" t="str">
        <f>数据表!D125</f>
        <v/>
      </c>
      <c r="AJ26" s="318">
        <v>174</v>
      </c>
      <c r="AK26" s="11" t="str">
        <f>IFERROR(VLOOKUP(AM26,法术大全!A:W,2,FALSE),"")</f>
        <v/>
      </c>
      <c r="AL26" s="10" t="str">
        <f>数据表!C175</f>
        <v/>
      </c>
      <c r="AM26" s="245"/>
      <c r="AN26" s="273" t="str">
        <f>数据表!D175</f>
        <v/>
      </c>
      <c r="AO26" s="328"/>
      <c r="AQ26" s="923"/>
      <c r="AR26" s="924"/>
      <c r="AS26" s="924"/>
      <c r="AT26" s="924"/>
      <c r="AU26" s="924"/>
      <c r="AV26" s="924"/>
      <c r="AW26" s="924"/>
      <c r="AX26" s="925"/>
    </row>
    <row r="27" spans="2:50" ht="17.55" customHeight="1">
      <c r="B27" s="940"/>
      <c r="C27" s="923"/>
      <c r="D27" s="924"/>
      <c r="E27" s="924"/>
      <c r="F27" s="924"/>
      <c r="G27" s="924"/>
      <c r="H27" s="924"/>
      <c r="I27" s="924"/>
      <c r="J27" s="924"/>
      <c r="K27" s="924"/>
      <c r="L27" s="924"/>
      <c r="M27" s="924"/>
      <c r="N27" s="924"/>
      <c r="O27" s="924"/>
      <c r="P27" s="924"/>
      <c r="Q27" s="924"/>
      <c r="R27" s="925"/>
      <c r="S27" s="939"/>
      <c r="T27" s="329"/>
      <c r="U27" s="315">
        <v>25</v>
      </c>
      <c r="V27" s="9" t="str">
        <f>IFERROR(VLOOKUP(X27,法术大全!A:W,2,FALSE),"")</f>
        <v/>
      </c>
      <c r="W27" s="10" t="str">
        <f>数据表!C26</f>
        <v/>
      </c>
      <c r="X27" s="245"/>
      <c r="Y27" s="273" t="str">
        <f>数据表!D26</f>
        <v/>
      </c>
      <c r="Z27" s="315">
        <v>75</v>
      </c>
      <c r="AA27" s="11" t="str">
        <f>IFERROR(VLOOKUP(AC27,法术大全!A:W,2,FALSE),"")</f>
        <v/>
      </c>
      <c r="AB27" s="12" t="str">
        <f>数据表!C76</f>
        <v/>
      </c>
      <c r="AC27" s="245"/>
      <c r="AD27" s="273" t="str">
        <f>数据表!D76</f>
        <v/>
      </c>
      <c r="AE27" s="316">
        <v>125</v>
      </c>
      <c r="AF27" s="9" t="str">
        <f>IFERROR(VLOOKUP(AH27,法术大全!A:W,2,FALSE),"")</f>
        <v/>
      </c>
      <c r="AG27" s="10" t="str">
        <f>数据表!C126</f>
        <v/>
      </c>
      <c r="AH27" s="245"/>
      <c r="AI27" s="273" t="str">
        <f>数据表!D126</f>
        <v/>
      </c>
      <c r="AJ27" s="318">
        <v>175</v>
      </c>
      <c r="AK27" s="11" t="str">
        <f>IFERROR(VLOOKUP(AM27,法术大全!A:W,2,FALSE),"")</f>
        <v/>
      </c>
      <c r="AL27" s="10" t="str">
        <f>数据表!C176</f>
        <v/>
      </c>
      <c r="AM27" s="245"/>
      <c r="AN27" s="273" t="str">
        <f>数据表!D176</f>
        <v/>
      </c>
      <c r="AO27" s="328"/>
      <c r="AQ27" s="923"/>
      <c r="AR27" s="924"/>
      <c r="AS27" s="924"/>
      <c r="AT27" s="924"/>
      <c r="AU27" s="924"/>
      <c r="AV27" s="924"/>
      <c r="AW27" s="924"/>
      <c r="AX27" s="925"/>
    </row>
    <row r="28" spans="2:50" ht="17.55" customHeight="1">
      <c r="B28" s="940"/>
      <c r="C28" s="923"/>
      <c r="D28" s="924"/>
      <c r="E28" s="924"/>
      <c r="F28" s="924"/>
      <c r="G28" s="924"/>
      <c r="H28" s="924"/>
      <c r="I28" s="924"/>
      <c r="J28" s="924"/>
      <c r="K28" s="924"/>
      <c r="L28" s="924"/>
      <c r="M28" s="924"/>
      <c r="N28" s="924"/>
      <c r="O28" s="924"/>
      <c r="P28" s="924"/>
      <c r="Q28" s="924"/>
      <c r="R28" s="925"/>
      <c r="S28" s="939"/>
      <c r="T28" s="329"/>
      <c r="U28" s="315">
        <v>26</v>
      </c>
      <c r="V28" s="9" t="str">
        <f>IFERROR(VLOOKUP(X28,法术大全!A:W,2,FALSE),"")</f>
        <v/>
      </c>
      <c r="W28" s="10" t="str">
        <f>数据表!C27</f>
        <v/>
      </c>
      <c r="X28" s="245"/>
      <c r="Y28" s="273" t="str">
        <f>数据表!D27</f>
        <v/>
      </c>
      <c r="Z28" s="315">
        <v>76</v>
      </c>
      <c r="AA28" s="11" t="str">
        <f>IFERROR(VLOOKUP(AC28,法术大全!A:W,2,FALSE),"")</f>
        <v/>
      </c>
      <c r="AB28" s="12" t="str">
        <f>数据表!C77</f>
        <v/>
      </c>
      <c r="AC28" s="245"/>
      <c r="AD28" s="273" t="str">
        <f>数据表!D77</f>
        <v/>
      </c>
      <c r="AE28" s="316">
        <v>126</v>
      </c>
      <c r="AF28" s="9" t="str">
        <f>IFERROR(VLOOKUP(AH28,法术大全!A:W,2,FALSE),"")</f>
        <v/>
      </c>
      <c r="AG28" s="10" t="str">
        <f>数据表!C127</f>
        <v/>
      </c>
      <c r="AH28" s="245"/>
      <c r="AI28" s="273" t="str">
        <f>数据表!D127</f>
        <v/>
      </c>
      <c r="AJ28" s="318">
        <v>176</v>
      </c>
      <c r="AK28" s="11" t="str">
        <f>IFERROR(VLOOKUP(AM28,法术大全!A:W,2,FALSE),"")</f>
        <v/>
      </c>
      <c r="AL28" s="10" t="str">
        <f>数据表!C177</f>
        <v/>
      </c>
      <c r="AM28" s="245"/>
      <c r="AN28" s="273" t="str">
        <f>数据表!D177</f>
        <v/>
      </c>
      <c r="AO28" s="328"/>
      <c r="AQ28" s="923"/>
      <c r="AR28" s="924"/>
      <c r="AS28" s="924"/>
      <c r="AT28" s="924"/>
      <c r="AU28" s="924"/>
      <c r="AV28" s="924"/>
      <c r="AW28" s="924"/>
      <c r="AX28" s="925"/>
    </row>
    <row r="29" spans="2:50" ht="17.55" customHeight="1">
      <c r="B29" s="940"/>
      <c r="C29" s="923"/>
      <c r="D29" s="924"/>
      <c r="E29" s="924"/>
      <c r="F29" s="924"/>
      <c r="G29" s="924"/>
      <c r="H29" s="924"/>
      <c r="I29" s="924"/>
      <c r="J29" s="924"/>
      <c r="K29" s="924"/>
      <c r="L29" s="924"/>
      <c r="M29" s="924"/>
      <c r="N29" s="924"/>
      <c r="O29" s="924"/>
      <c r="P29" s="924"/>
      <c r="Q29" s="924"/>
      <c r="R29" s="925"/>
      <c r="S29" s="939"/>
      <c r="T29" s="329"/>
      <c r="U29" s="315">
        <v>27</v>
      </c>
      <c r="V29" s="9" t="str">
        <f>IFERROR(VLOOKUP(X29,法术大全!A:W,2,FALSE),"")</f>
        <v/>
      </c>
      <c r="W29" s="10" t="str">
        <f>数据表!C28</f>
        <v/>
      </c>
      <c r="X29" s="245"/>
      <c r="Y29" s="273" t="str">
        <f>数据表!D28</f>
        <v/>
      </c>
      <c r="Z29" s="315">
        <v>77</v>
      </c>
      <c r="AA29" s="11" t="str">
        <f>IFERROR(VLOOKUP(AC29,法术大全!A:W,2,FALSE),"")</f>
        <v/>
      </c>
      <c r="AB29" s="12" t="str">
        <f>数据表!C78</f>
        <v/>
      </c>
      <c r="AC29" s="245"/>
      <c r="AD29" s="273" t="str">
        <f>数据表!D78</f>
        <v/>
      </c>
      <c r="AE29" s="316">
        <v>127</v>
      </c>
      <c r="AF29" s="9" t="str">
        <f>IFERROR(VLOOKUP(AH29,法术大全!A:W,2,FALSE),"")</f>
        <v/>
      </c>
      <c r="AG29" s="10" t="str">
        <f>数据表!C128</f>
        <v/>
      </c>
      <c r="AH29" s="245"/>
      <c r="AI29" s="273" t="str">
        <f>数据表!D128</f>
        <v/>
      </c>
      <c r="AJ29" s="318">
        <v>177</v>
      </c>
      <c r="AK29" s="11" t="str">
        <f>IFERROR(VLOOKUP(AM29,法术大全!A:W,2,FALSE),"")</f>
        <v/>
      </c>
      <c r="AL29" s="10" t="str">
        <f>数据表!C178</f>
        <v/>
      </c>
      <c r="AM29" s="245"/>
      <c r="AN29" s="273" t="str">
        <f>数据表!D178</f>
        <v/>
      </c>
      <c r="AO29" s="328"/>
      <c r="AQ29" s="923"/>
      <c r="AR29" s="924"/>
      <c r="AS29" s="924"/>
      <c r="AT29" s="924"/>
      <c r="AU29" s="924"/>
      <c r="AV29" s="924"/>
      <c r="AW29" s="924"/>
      <c r="AX29" s="925"/>
    </row>
    <row r="30" spans="2:50" ht="17.55" customHeight="1">
      <c r="B30" s="940"/>
      <c r="C30" s="923"/>
      <c r="D30" s="924"/>
      <c r="E30" s="924"/>
      <c r="F30" s="924"/>
      <c r="G30" s="924"/>
      <c r="H30" s="924"/>
      <c r="I30" s="924"/>
      <c r="J30" s="924"/>
      <c r="K30" s="924"/>
      <c r="L30" s="924"/>
      <c r="M30" s="924"/>
      <c r="N30" s="924"/>
      <c r="O30" s="924"/>
      <c r="P30" s="924"/>
      <c r="Q30" s="924"/>
      <c r="R30" s="925"/>
      <c r="S30" s="939"/>
      <c r="T30" s="329"/>
      <c r="U30" s="315">
        <v>28</v>
      </c>
      <c r="V30" s="9" t="str">
        <f>IFERROR(VLOOKUP(X30,法术大全!A:W,2,FALSE),"")</f>
        <v/>
      </c>
      <c r="W30" s="10" t="str">
        <f>数据表!C29</f>
        <v/>
      </c>
      <c r="X30" s="245"/>
      <c r="Y30" s="273" t="str">
        <f>数据表!D29</f>
        <v/>
      </c>
      <c r="Z30" s="315">
        <v>78</v>
      </c>
      <c r="AA30" s="11" t="str">
        <f>IFERROR(VLOOKUP(AC30,法术大全!A:W,2,FALSE),"")</f>
        <v/>
      </c>
      <c r="AB30" s="12" t="str">
        <f>数据表!C79</f>
        <v/>
      </c>
      <c r="AC30" s="245"/>
      <c r="AD30" s="273" t="str">
        <f>数据表!D79</f>
        <v/>
      </c>
      <c r="AE30" s="316">
        <v>128</v>
      </c>
      <c r="AF30" s="9" t="str">
        <f>IFERROR(VLOOKUP(AH30,法术大全!A:W,2,FALSE),"")</f>
        <v/>
      </c>
      <c r="AG30" s="10" t="str">
        <f>数据表!C129</f>
        <v/>
      </c>
      <c r="AH30" s="245"/>
      <c r="AI30" s="273" t="str">
        <f>数据表!D129</f>
        <v/>
      </c>
      <c r="AJ30" s="318">
        <v>178</v>
      </c>
      <c r="AK30" s="11" t="str">
        <f>IFERROR(VLOOKUP(AM30,法术大全!A:W,2,FALSE),"")</f>
        <v/>
      </c>
      <c r="AL30" s="10" t="str">
        <f>数据表!C179</f>
        <v/>
      </c>
      <c r="AM30" s="245"/>
      <c r="AN30" s="273" t="str">
        <f>数据表!D179</f>
        <v/>
      </c>
      <c r="AO30" s="328"/>
      <c r="AQ30" s="923"/>
      <c r="AR30" s="924"/>
      <c r="AS30" s="924"/>
      <c r="AT30" s="924"/>
      <c r="AU30" s="924"/>
      <c r="AV30" s="924"/>
      <c r="AW30" s="924"/>
      <c r="AX30" s="925"/>
    </row>
    <row r="31" spans="2:50" ht="17.55" customHeight="1">
      <c r="B31" s="940"/>
      <c r="C31" s="923"/>
      <c r="D31" s="924"/>
      <c r="E31" s="924"/>
      <c r="F31" s="924"/>
      <c r="G31" s="924"/>
      <c r="H31" s="924"/>
      <c r="I31" s="924"/>
      <c r="J31" s="924"/>
      <c r="K31" s="924"/>
      <c r="L31" s="924"/>
      <c r="M31" s="924"/>
      <c r="N31" s="924"/>
      <c r="O31" s="924"/>
      <c r="P31" s="924"/>
      <c r="Q31" s="924"/>
      <c r="R31" s="925"/>
      <c r="S31" s="939"/>
      <c r="T31" s="329"/>
      <c r="U31" s="315">
        <v>29</v>
      </c>
      <c r="V31" s="9" t="str">
        <f>IFERROR(VLOOKUP(X31,法术大全!A:W,2,FALSE),"")</f>
        <v/>
      </c>
      <c r="W31" s="10" t="str">
        <f>数据表!C30</f>
        <v/>
      </c>
      <c r="X31" s="245"/>
      <c r="Y31" s="273" t="str">
        <f>数据表!D30</f>
        <v/>
      </c>
      <c r="Z31" s="315">
        <v>79</v>
      </c>
      <c r="AA31" s="11" t="str">
        <f>IFERROR(VLOOKUP(AC31,法术大全!A:W,2,FALSE),"")</f>
        <v/>
      </c>
      <c r="AB31" s="12" t="str">
        <f>数据表!C80</f>
        <v/>
      </c>
      <c r="AC31" s="245"/>
      <c r="AD31" s="273" t="str">
        <f>数据表!D80</f>
        <v/>
      </c>
      <c r="AE31" s="316">
        <v>129</v>
      </c>
      <c r="AF31" s="9" t="str">
        <f>IFERROR(VLOOKUP(AH31,法术大全!A:W,2,FALSE),"")</f>
        <v/>
      </c>
      <c r="AG31" s="10" t="str">
        <f>数据表!C130</f>
        <v/>
      </c>
      <c r="AH31" s="245"/>
      <c r="AI31" s="273" t="str">
        <f>数据表!D130</f>
        <v/>
      </c>
      <c r="AJ31" s="318">
        <v>179</v>
      </c>
      <c r="AK31" s="11" t="str">
        <f>IFERROR(VLOOKUP(AM31,法术大全!A:W,2,FALSE),"")</f>
        <v/>
      </c>
      <c r="AL31" s="10" t="str">
        <f>数据表!C180</f>
        <v/>
      </c>
      <c r="AM31" s="245"/>
      <c r="AN31" s="273" t="str">
        <f>数据表!D180</f>
        <v/>
      </c>
      <c r="AO31" s="328"/>
      <c r="AQ31" s="923"/>
      <c r="AR31" s="924"/>
      <c r="AS31" s="924"/>
      <c r="AT31" s="924"/>
      <c r="AU31" s="924"/>
      <c r="AV31" s="924"/>
      <c r="AW31" s="924"/>
      <c r="AX31" s="925"/>
    </row>
    <row r="32" spans="2:50" ht="17.55" customHeight="1">
      <c r="B32" s="940"/>
      <c r="C32" s="923"/>
      <c r="D32" s="924"/>
      <c r="E32" s="924"/>
      <c r="F32" s="924"/>
      <c r="G32" s="924"/>
      <c r="H32" s="924"/>
      <c r="I32" s="924"/>
      <c r="J32" s="924"/>
      <c r="K32" s="924"/>
      <c r="L32" s="924"/>
      <c r="M32" s="924"/>
      <c r="N32" s="924"/>
      <c r="O32" s="924"/>
      <c r="P32" s="924"/>
      <c r="Q32" s="924"/>
      <c r="R32" s="925"/>
      <c r="S32" s="939"/>
      <c r="T32" s="329"/>
      <c r="U32" s="315">
        <v>30</v>
      </c>
      <c r="V32" s="9" t="str">
        <f>IFERROR(VLOOKUP(X32,法术大全!A:W,2,FALSE),"")</f>
        <v/>
      </c>
      <c r="W32" s="10" t="str">
        <f>数据表!C31</f>
        <v/>
      </c>
      <c r="X32" s="245"/>
      <c r="Y32" s="273" t="str">
        <f>数据表!D31</f>
        <v/>
      </c>
      <c r="Z32" s="315">
        <v>80</v>
      </c>
      <c r="AA32" s="11" t="str">
        <f>IFERROR(VLOOKUP(AC32,法术大全!A:W,2,FALSE),"")</f>
        <v/>
      </c>
      <c r="AB32" s="12" t="str">
        <f>数据表!C81</f>
        <v/>
      </c>
      <c r="AC32" s="245"/>
      <c r="AD32" s="273" t="str">
        <f>数据表!D81</f>
        <v/>
      </c>
      <c r="AE32" s="316">
        <v>130</v>
      </c>
      <c r="AF32" s="9" t="str">
        <f>IFERROR(VLOOKUP(AH32,法术大全!A:W,2,FALSE),"")</f>
        <v/>
      </c>
      <c r="AG32" s="10" t="str">
        <f>数据表!C131</f>
        <v/>
      </c>
      <c r="AH32" s="245"/>
      <c r="AI32" s="273" t="str">
        <f>数据表!D131</f>
        <v/>
      </c>
      <c r="AJ32" s="318">
        <v>180</v>
      </c>
      <c r="AK32" s="11" t="str">
        <f>IFERROR(VLOOKUP(AM32,法术大全!A:W,2,FALSE),"")</f>
        <v/>
      </c>
      <c r="AL32" s="10" t="str">
        <f>数据表!C181</f>
        <v/>
      </c>
      <c r="AM32" s="245"/>
      <c r="AN32" s="273" t="str">
        <f>数据表!D181</f>
        <v/>
      </c>
      <c r="AO32" s="328"/>
      <c r="AQ32" s="923"/>
      <c r="AR32" s="924"/>
      <c r="AS32" s="924"/>
      <c r="AT32" s="924"/>
      <c r="AU32" s="924"/>
      <c r="AV32" s="924"/>
      <c r="AW32" s="924"/>
      <c r="AX32" s="925"/>
    </row>
    <row r="33" spans="2:50" ht="17.55" customHeight="1">
      <c r="B33" s="940"/>
      <c r="C33" s="923"/>
      <c r="D33" s="924"/>
      <c r="E33" s="924"/>
      <c r="F33" s="924"/>
      <c r="G33" s="924"/>
      <c r="H33" s="924"/>
      <c r="I33" s="924"/>
      <c r="J33" s="924"/>
      <c r="K33" s="924"/>
      <c r="L33" s="924"/>
      <c r="M33" s="924"/>
      <c r="N33" s="924"/>
      <c r="O33" s="924"/>
      <c r="P33" s="924"/>
      <c r="Q33" s="924"/>
      <c r="R33" s="925"/>
      <c r="S33" s="939"/>
      <c r="T33" s="329"/>
      <c r="U33" s="315">
        <v>31</v>
      </c>
      <c r="V33" s="9" t="str">
        <f>IFERROR(VLOOKUP(X33,法术大全!A:W,2,FALSE),"")</f>
        <v/>
      </c>
      <c r="W33" s="10" t="str">
        <f>数据表!C32</f>
        <v/>
      </c>
      <c r="X33" s="245"/>
      <c r="Y33" s="273" t="str">
        <f>数据表!D32</f>
        <v/>
      </c>
      <c r="Z33" s="315">
        <v>81</v>
      </c>
      <c r="AA33" s="11" t="str">
        <f>IFERROR(VLOOKUP(AC33,法术大全!A:W,2,FALSE),"")</f>
        <v/>
      </c>
      <c r="AB33" s="12" t="str">
        <f>数据表!C82</f>
        <v/>
      </c>
      <c r="AC33" s="245"/>
      <c r="AD33" s="273" t="str">
        <f>数据表!D82</f>
        <v/>
      </c>
      <c r="AE33" s="316">
        <v>131</v>
      </c>
      <c r="AF33" s="9" t="str">
        <f>IFERROR(VLOOKUP(AH33,法术大全!A:W,2,FALSE),"")</f>
        <v/>
      </c>
      <c r="AG33" s="10" t="str">
        <f>数据表!C132</f>
        <v/>
      </c>
      <c r="AH33" s="245"/>
      <c r="AI33" s="273" t="str">
        <f>数据表!D132</f>
        <v/>
      </c>
      <c r="AJ33" s="318">
        <v>181</v>
      </c>
      <c r="AK33" s="11" t="str">
        <f>IFERROR(VLOOKUP(AM33,法术大全!A:W,2,FALSE),"")</f>
        <v/>
      </c>
      <c r="AL33" s="10" t="str">
        <f>数据表!C182</f>
        <v/>
      </c>
      <c r="AM33" s="245"/>
      <c r="AN33" s="273" t="str">
        <f>数据表!D182</f>
        <v/>
      </c>
      <c r="AO33" s="328"/>
      <c r="AQ33" s="923"/>
      <c r="AR33" s="924"/>
      <c r="AS33" s="924"/>
      <c r="AT33" s="924"/>
      <c r="AU33" s="924"/>
      <c r="AV33" s="924"/>
      <c r="AW33" s="924"/>
      <c r="AX33" s="925"/>
    </row>
    <row r="34" spans="2:50" ht="17.55" customHeight="1">
      <c r="B34" s="940"/>
      <c r="C34" s="923"/>
      <c r="D34" s="924"/>
      <c r="E34" s="924"/>
      <c r="F34" s="924"/>
      <c r="G34" s="924"/>
      <c r="H34" s="924"/>
      <c r="I34" s="924"/>
      <c r="J34" s="924"/>
      <c r="K34" s="924"/>
      <c r="L34" s="924"/>
      <c r="M34" s="924"/>
      <c r="N34" s="924"/>
      <c r="O34" s="924"/>
      <c r="P34" s="924"/>
      <c r="Q34" s="924"/>
      <c r="R34" s="925"/>
      <c r="S34" s="939"/>
      <c r="T34" s="329"/>
      <c r="U34" s="315">
        <v>32</v>
      </c>
      <c r="V34" s="9" t="str">
        <f>IFERROR(VLOOKUP(X34,法术大全!A:W,2,FALSE),"")</f>
        <v/>
      </c>
      <c r="W34" s="10" t="str">
        <f>数据表!C33</f>
        <v/>
      </c>
      <c r="X34" s="245"/>
      <c r="Y34" s="273" t="str">
        <f>数据表!D33</f>
        <v/>
      </c>
      <c r="Z34" s="315">
        <v>82</v>
      </c>
      <c r="AA34" s="11" t="str">
        <f>IFERROR(VLOOKUP(AC34,法术大全!A:W,2,FALSE),"")</f>
        <v/>
      </c>
      <c r="AB34" s="12" t="str">
        <f>数据表!C83</f>
        <v/>
      </c>
      <c r="AC34" s="245"/>
      <c r="AD34" s="273" t="str">
        <f>数据表!D83</f>
        <v/>
      </c>
      <c r="AE34" s="316">
        <v>132</v>
      </c>
      <c r="AF34" s="9" t="str">
        <f>IFERROR(VLOOKUP(AH34,法术大全!A:W,2,FALSE),"")</f>
        <v/>
      </c>
      <c r="AG34" s="10" t="str">
        <f>数据表!C133</f>
        <v/>
      </c>
      <c r="AH34" s="245"/>
      <c r="AI34" s="273" t="str">
        <f>数据表!D133</f>
        <v/>
      </c>
      <c r="AJ34" s="318">
        <v>182</v>
      </c>
      <c r="AK34" s="11" t="str">
        <f>IFERROR(VLOOKUP(AM34,法术大全!A:W,2,FALSE),"")</f>
        <v/>
      </c>
      <c r="AL34" s="10" t="str">
        <f>数据表!C183</f>
        <v/>
      </c>
      <c r="AM34" s="245"/>
      <c r="AN34" s="273" t="str">
        <f>数据表!D183</f>
        <v/>
      </c>
      <c r="AO34" s="328"/>
      <c r="AQ34" s="923"/>
      <c r="AR34" s="924"/>
      <c r="AS34" s="924"/>
      <c r="AT34" s="924"/>
      <c r="AU34" s="924"/>
      <c r="AV34" s="924"/>
      <c r="AW34" s="924"/>
      <c r="AX34" s="925"/>
    </row>
    <row r="35" spans="2:50" ht="17.55" customHeight="1">
      <c r="B35" s="940"/>
      <c r="C35" s="923"/>
      <c r="D35" s="924"/>
      <c r="E35" s="924"/>
      <c r="F35" s="924"/>
      <c r="G35" s="924"/>
      <c r="H35" s="924"/>
      <c r="I35" s="924"/>
      <c r="J35" s="924"/>
      <c r="K35" s="924"/>
      <c r="L35" s="924"/>
      <c r="M35" s="924"/>
      <c r="N35" s="924"/>
      <c r="O35" s="924"/>
      <c r="P35" s="924"/>
      <c r="Q35" s="924"/>
      <c r="R35" s="925"/>
      <c r="S35" s="939"/>
      <c r="T35" s="329"/>
      <c r="U35" s="315">
        <v>33</v>
      </c>
      <c r="V35" s="9" t="str">
        <f>IFERROR(VLOOKUP(X35,法术大全!A:W,2,FALSE),"")</f>
        <v/>
      </c>
      <c r="W35" s="10" t="str">
        <f>数据表!C34</f>
        <v/>
      </c>
      <c r="X35" s="245"/>
      <c r="Y35" s="273" t="str">
        <f>数据表!D34</f>
        <v/>
      </c>
      <c r="Z35" s="315">
        <v>83</v>
      </c>
      <c r="AA35" s="11" t="str">
        <f>IFERROR(VLOOKUP(AC35,法术大全!A:W,2,FALSE),"")</f>
        <v/>
      </c>
      <c r="AB35" s="12" t="str">
        <f>数据表!C84</f>
        <v/>
      </c>
      <c r="AC35" s="245"/>
      <c r="AD35" s="273" t="str">
        <f>数据表!D84</f>
        <v/>
      </c>
      <c r="AE35" s="316">
        <v>133</v>
      </c>
      <c r="AF35" s="9" t="str">
        <f>IFERROR(VLOOKUP(AH35,法术大全!A:W,2,FALSE),"")</f>
        <v/>
      </c>
      <c r="AG35" s="10" t="str">
        <f>数据表!C134</f>
        <v/>
      </c>
      <c r="AH35" s="245"/>
      <c r="AI35" s="273" t="str">
        <f>数据表!D134</f>
        <v/>
      </c>
      <c r="AJ35" s="318">
        <v>183</v>
      </c>
      <c r="AK35" s="11" t="str">
        <f>IFERROR(VLOOKUP(AM35,法术大全!A:W,2,FALSE),"")</f>
        <v/>
      </c>
      <c r="AL35" s="10" t="str">
        <f>数据表!C184</f>
        <v/>
      </c>
      <c r="AM35" s="245"/>
      <c r="AN35" s="273" t="str">
        <f>数据表!D184</f>
        <v/>
      </c>
      <c r="AO35" s="328"/>
      <c r="AQ35" s="923"/>
      <c r="AR35" s="924"/>
      <c r="AS35" s="924"/>
      <c r="AT35" s="924"/>
      <c r="AU35" s="924"/>
      <c r="AV35" s="924"/>
      <c r="AW35" s="924"/>
      <c r="AX35" s="925"/>
    </row>
    <row r="36" spans="2:50" ht="17.55" customHeight="1">
      <c r="B36" s="940"/>
      <c r="C36" s="923"/>
      <c r="D36" s="924"/>
      <c r="E36" s="924"/>
      <c r="F36" s="924"/>
      <c r="G36" s="924"/>
      <c r="H36" s="924"/>
      <c r="I36" s="924"/>
      <c r="J36" s="924"/>
      <c r="K36" s="924"/>
      <c r="L36" s="924"/>
      <c r="M36" s="924"/>
      <c r="N36" s="924"/>
      <c r="O36" s="924"/>
      <c r="P36" s="924"/>
      <c r="Q36" s="924"/>
      <c r="R36" s="925"/>
      <c r="S36" s="939"/>
      <c r="T36" s="329"/>
      <c r="U36" s="315">
        <v>34</v>
      </c>
      <c r="V36" s="9" t="str">
        <f>IFERROR(VLOOKUP(X36,法术大全!A:W,2,FALSE),"")</f>
        <v/>
      </c>
      <c r="W36" s="10" t="str">
        <f>数据表!C35</f>
        <v/>
      </c>
      <c r="X36" s="245"/>
      <c r="Y36" s="273" t="str">
        <f>数据表!D35</f>
        <v/>
      </c>
      <c r="Z36" s="315">
        <v>84</v>
      </c>
      <c r="AA36" s="11" t="str">
        <f>IFERROR(VLOOKUP(AC36,法术大全!A:W,2,FALSE),"")</f>
        <v/>
      </c>
      <c r="AB36" s="12" t="str">
        <f>数据表!C85</f>
        <v/>
      </c>
      <c r="AC36" s="245"/>
      <c r="AD36" s="273" t="str">
        <f>数据表!D85</f>
        <v/>
      </c>
      <c r="AE36" s="316">
        <v>134</v>
      </c>
      <c r="AF36" s="9" t="str">
        <f>IFERROR(VLOOKUP(AH36,法术大全!A:W,2,FALSE),"")</f>
        <v/>
      </c>
      <c r="AG36" s="10" t="str">
        <f>数据表!C135</f>
        <v/>
      </c>
      <c r="AH36" s="245"/>
      <c r="AI36" s="273" t="str">
        <f>数据表!D135</f>
        <v/>
      </c>
      <c r="AJ36" s="318">
        <v>184</v>
      </c>
      <c r="AK36" s="11" t="str">
        <f>IFERROR(VLOOKUP(AM36,法术大全!A:W,2,FALSE),"")</f>
        <v/>
      </c>
      <c r="AL36" s="10" t="str">
        <f>数据表!C185</f>
        <v/>
      </c>
      <c r="AM36" s="245"/>
      <c r="AN36" s="273" t="str">
        <f>数据表!D185</f>
        <v/>
      </c>
      <c r="AO36" s="328"/>
      <c r="AQ36" s="923"/>
      <c r="AR36" s="924"/>
      <c r="AS36" s="924"/>
      <c r="AT36" s="924"/>
      <c r="AU36" s="924"/>
      <c r="AV36" s="924"/>
      <c r="AW36" s="924"/>
      <c r="AX36" s="925"/>
    </row>
    <row r="37" spans="2:50" ht="17.55" customHeight="1">
      <c r="B37" s="940"/>
      <c r="C37" s="923"/>
      <c r="D37" s="924"/>
      <c r="E37" s="924"/>
      <c r="F37" s="924"/>
      <c r="G37" s="924"/>
      <c r="H37" s="924"/>
      <c r="I37" s="924"/>
      <c r="J37" s="924"/>
      <c r="K37" s="924"/>
      <c r="L37" s="924"/>
      <c r="M37" s="924"/>
      <c r="N37" s="924"/>
      <c r="O37" s="924"/>
      <c r="P37" s="924"/>
      <c r="Q37" s="924"/>
      <c r="R37" s="925"/>
      <c r="S37" s="939"/>
      <c r="T37" s="329"/>
      <c r="U37" s="315">
        <v>35</v>
      </c>
      <c r="V37" s="9" t="str">
        <f>IFERROR(VLOOKUP(X37,法术大全!A:W,2,FALSE),"")</f>
        <v/>
      </c>
      <c r="W37" s="10" t="str">
        <f>数据表!C36</f>
        <v/>
      </c>
      <c r="X37" s="245"/>
      <c r="Y37" s="273" t="str">
        <f>数据表!D36</f>
        <v/>
      </c>
      <c r="Z37" s="315">
        <v>85</v>
      </c>
      <c r="AA37" s="11" t="str">
        <f>IFERROR(VLOOKUP(AC37,法术大全!A:W,2,FALSE),"")</f>
        <v/>
      </c>
      <c r="AB37" s="12" t="str">
        <f>数据表!C86</f>
        <v/>
      </c>
      <c r="AC37" s="245"/>
      <c r="AD37" s="273" t="str">
        <f>数据表!D86</f>
        <v/>
      </c>
      <c r="AE37" s="316">
        <v>135</v>
      </c>
      <c r="AF37" s="9" t="str">
        <f>IFERROR(VLOOKUP(AH37,法术大全!A:W,2,FALSE),"")</f>
        <v/>
      </c>
      <c r="AG37" s="10" t="str">
        <f>数据表!C136</f>
        <v/>
      </c>
      <c r="AH37" s="245" t="s">
        <v>2501</v>
      </c>
      <c r="AI37" s="273" t="str">
        <f>数据表!D136</f>
        <v/>
      </c>
      <c r="AJ37" s="318">
        <v>185</v>
      </c>
      <c r="AK37" s="11" t="str">
        <f>IFERROR(VLOOKUP(AM37,法术大全!A:W,2,FALSE),"")</f>
        <v/>
      </c>
      <c r="AL37" s="10" t="str">
        <f>数据表!C186</f>
        <v/>
      </c>
      <c r="AM37" s="245"/>
      <c r="AN37" s="273" t="str">
        <f>数据表!D186</f>
        <v/>
      </c>
      <c r="AO37" s="328"/>
      <c r="AQ37" s="923"/>
      <c r="AR37" s="924"/>
      <c r="AS37" s="924"/>
      <c r="AT37" s="924"/>
      <c r="AU37" s="924"/>
      <c r="AV37" s="924"/>
      <c r="AW37" s="924"/>
      <c r="AX37" s="925"/>
    </row>
    <row r="38" spans="2:50" ht="17.55" customHeight="1">
      <c r="B38" s="940"/>
      <c r="C38" s="923"/>
      <c r="D38" s="924"/>
      <c r="E38" s="924"/>
      <c r="F38" s="924"/>
      <c r="G38" s="924"/>
      <c r="H38" s="924"/>
      <c r="I38" s="924"/>
      <c r="J38" s="924"/>
      <c r="K38" s="924"/>
      <c r="L38" s="924"/>
      <c r="M38" s="924"/>
      <c r="N38" s="924"/>
      <c r="O38" s="924"/>
      <c r="P38" s="924"/>
      <c r="Q38" s="924"/>
      <c r="R38" s="925"/>
      <c r="S38" s="939"/>
      <c r="T38" s="329"/>
      <c r="U38" s="315">
        <v>36</v>
      </c>
      <c r="V38" s="9" t="str">
        <f>IFERROR(VLOOKUP(X38,法术大全!A:W,2,FALSE),"")</f>
        <v/>
      </c>
      <c r="W38" s="10" t="str">
        <f>数据表!C37</f>
        <v/>
      </c>
      <c r="X38" s="245"/>
      <c r="Y38" s="273" t="str">
        <f>数据表!D37</f>
        <v/>
      </c>
      <c r="Z38" s="315">
        <v>86</v>
      </c>
      <c r="AA38" s="11" t="str">
        <f>IFERROR(VLOOKUP(AC38,法术大全!A:W,2,FALSE),"")</f>
        <v/>
      </c>
      <c r="AB38" s="12" t="str">
        <f>数据表!C87</f>
        <v/>
      </c>
      <c r="AC38" s="245"/>
      <c r="AD38" s="273" t="str">
        <f>数据表!D87</f>
        <v/>
      </c>
      <c r="AE38" s="316">
        <v>136</v>
      </c>
      <c r="AF38" s="9" t="str">
        <f>IFERROR(VLOOKUP(AH38,法术大全!A:W,2,FALSE),"")</f>
        <v/>
      </c>
      <c r="AG38" s="10" t="str">
        <f>数据表!C137</f>
        <v/>
      </c>
      <c r="AH38" s="245" t="s">
        <v>2501</v>
      </c>
      <c r="AI38" s="273" t="str">
        <f>数据表!D137</f>
        <v/>
      </c>
      <c r="AJ38" s="318">
        <v>186</v>
      </c>
      <c r="AK38" s="11" t="str">
        <f>IFERROR(VLOOKUP(AM38,法术大全!A:W,2,FALSE),"")</f>
        <v/>
      </c>
      <c r="AL38" s="10" t="str">
        <f>数据表!C187</f>
        <v/>
      </c>
      <c r="AM38" s="245"/>
      <c r="AN38" s="273" t="str">
        <f>数据表!D187</f>
        <v/>
      </c>
      <c r="AO38" s="328"/>
      <c r="AQ38" s="923"/>
      <c r="AR38" s="924"/>
      <c r="AS38" s="924"/>
      <c r="AT38" s="924"/>
      <c r="AU38" s="924"/>
      <c r="AV38" s="924"/>
      <c r="AW38" s="924"/>
      <c r="AX38" s="925"/>
    </row>
    <row r="39" spans="2:50" ht="17.55" customHeight="1">
      <c r="B39" s="940"/>
      <c r="C39" s="923"/>
      <c r="D39" s="924"/>
      <c r="E39" s="924"/>
      <c r="F39" s="924"/>
      <c r="G39" s="924"/>
      <c r="H39" s="924"/>
      <c r="I39" s="924"/>
      <c r="J39" s="924"/>
      <c r="K39" s="924"/>
      <c r="L39" s="924"/>
      <c r="M39" s="924"/>
      <c r="N39" s="924"/>
      <c r="O39" s="924"/>
      <c r="P39" s="924"/>
      <c r="Q39" s="924"/>
      <c r="R39" s="925"/>
      <c r="S39" s="939"/>
      <c r="T39" s="329"/>
      <c r="U39" s="315">
        <v>37</v>
      </c>
      <c r="V39" s="9" t="str">
        <f>IFERROR(VLOOKUP(X39,法术大全!A:W,2,FALSE),"")</f>
        <v/>
      </c>
      <c r="W39" s="10" t="str">
        <f>数据表!C38</f>
        <v/>
      </c>
      <c r="X39" s="245"/>
      <c r="Y39" s="273" t="str">
        <f>数据表!D38</f>
        <v/>
      </c>
      <c r="Z39" s="315">
        <v>87</v>
      </c>
      <c r="AA39" s="11" t="str">
        <f>IFERROR(VLOOKUP(AC39,法术大全!A:W,2,FALSE),"")</f>
        <v/>
      </c>
      <c r="AB39" s="12" t="str">
        <f>数据表!C88</f>
        <v/>
      </c>
      <c r="AC39" s="245"/>
      <c r="AD39" s="273" t="str">
        <f>数据表!D88</f>
        <v/>
      </c>
      <c r="AE39" s="316">
        <v>137</v>
      </c>
      <c r="AF39" s="9" t="str">
        <f>IFERROR(VLOOKUP(AH39,法术大全!A:W,2,FALSE),"")</f>
        <v/>
      </c>
      <c r="AG39" s="10" t="str">
        <f>数据表!C138</f>
        <v/>
      </c>
      <c r="AH39" s="245" t="s">
        <v>2501</v>
      </c>
      <c r="AI39" s="273" t="str">
        <f>数据表!D138</f>
        <v/>
      </c>
      <c r="AJ39" s="318">
        <v>187</v>
      </c>
      <c r="AK39" s="11" t="str">
        <f>IFERROR(VLOOKUP(AM39,法术大全!A:W,2,FALSE),"")</f>
        <v/>
      </c>
      <c r="AL39" s="10" t="str">
        <f>数据表!C188</f>
        <v/>
      </c>
      <c r="AM39" s="245"/>
      <c r="AN39" s="273" t="str">
        <f>数据表!D188</f>
        <v/>
      </c>
      <c r="AO39" s="328"/>
      <c r="AQ39" s="923"/>
      <c r="AR39" s="924"/>
      <c r="AS39" s="924"/>
      <c r="AT39" s="924"/>
      <c r="AU39" s="924"/>
      <c r="AV39" s="924"/>
      <c r="AW39" s="924"/>
      <c r="AX39" s="925"/>
    </row>
    <row r="40" spans="2:50" ht="17.55" customHeight="1">
      <c r="B40" s="940"/>
      <c r="C40" s="923"/>
      <c r="D40" s="924"/>
      <c r="E40" s="924"/>
      <c r="F40" s="924"/>
      <c r="G40" s="924"/>
      <c r="H40" s="924"/>
      <c r="I40" s="924"/>
      <c r="J40" s="924"/>
      <c r="K40" s="924"/>
      <c r="L40" s="924"/>
      <c r="M40" s="924"/>
      <c r="N40" s="924"/>
      <c r="O40" s="924"/>
      <c r="P40" s="924"/>
      <c r="Q40" s="924"/>
      <c r="R40" s="925"/>
      <c r="S40" s="939"/>
      <c r="T40" s="329"/>
      <c r="U40" s="315">
        <v>38</v>
      </c>
      <c r="V40" s="9" t="str">
        <f>IFERROR(VLOOKUP(X40,法术大全!A:W,2,FALSE),"")</f>
        <v/>
      </c>
      <c r="W40" s="10" t="str">
        <f>数据表!C39</f>
        <v/>
      </c>
      <c r="X40" s="245"/>
      <c r="Y40" s="273" t="str">
        <f>数据表!D39</f>
        <v/>
      </c>
      <c r="Z40" s="315">
        <v>88</v>
      </c>
      <c r="AA40" s="11" t="str">
        <f>IFERROR(VLOOKUP(AC40,法术大全!A:W,2,FALSE),"")</f>
        <v/>
      </c>
      <c r="AB40" s="12" t="str">
        <f>数据表!C89</f>
        <v/>
      </c>
      <c r="AC40" s="245"/>
      <c r="AD40" s="273" t="str">
        <f>数据表!D89</f>
        <v/>
      </c>
      <c r="AE40" s="316">
        <v>138</v>
      </c>
      <c r="AF40" s="9" t="str">
        <f>IFERROR(VLOOKUP(AH40,法术大全!A:W,2,FALSE),"")</f>
        <v/>
      </c>
      <c r="AG40" s="10" t="str">
        <f>数据表!C139</f>
        <v/>
      </c>
      <c r="AH40" s="245" t="s">
        <v>2501</v>
      </c>
      <c r="AI40" s="273" t="str">
        <f>数据表!D139</f>
        <v/>
      </c>
      <c r="AJ40" s="318">
        <v>188</v>
      </c>
      <c r="AK40" s="11" t="str">
        <f>IFERROR(VLOOKUP(AM40,法术大全!A:W,2,FALSE),"")</f>
        <v/>
      </c>
      <c r="AL40" s="10" t="str">
        <f>数据表!C189</f>
        <v/>
      </c>
      <c r="AM40" s="245"/>
      <c r="AN40" s="273" t="str">
        <f>数据表!D189</f>
        <v/>
      </c>
      <c r="AO40" s="328"/>
      <c r="AQ40" s="923"/>
      <c r="AR40" s="924"/>
      <c r="AS40" s="924"/>
      <c r="AT40" s="924"/>
      <c r="AU40" s="924"/>
      <c r="AV40" s="924"/>
      <c r="AW40" s="924"/>
      <c r="AX40" s="925"/>
    </row>
    <row r="41" spans="2:50" ht="17.55" customHeight="1">
      <c r="B41" s="940"/>
      <c r="C41" s="923"/>
      <c r="D41" s="924"/>
      <c r="E41" s="924"/>
      <c r="F41" s="924"/>
      <c r="G41" s="924"/>
      <c r="H41" s="924"/>
      <c r="I41" s="924"/>
      <c r="J41" s="924"/>
      <c r="K41" s="924"/>
      <c r="L41" s="924"/>
      <c r="M41" s="924"/>
      <c r="N41" s="924"/>
      <c r="O41" s="924"/>
      <c r="P41" s="924"/>
      <c r="Q41" s="924"/>
      <c r="R41" s="925"/>
      <c r="S41" s="939"/>
      <c r="T41" s="329"/>
      <c r="U41" s="315">
        <v>39</v>
      </c>
      <c r="V41" s="9" t="str">
        <f>IFERROR(VLOOKUP(X41,法术大全!A:W,2,FALSE),"")</f>
        <v/>
      </c>
      <c r="W41" s="10" t="str">
        <f>数据表!C40</f>
        <v/>
      </c>
      <c r="X41" s="245"/>
      <c r="Y41" s="273" t="str">
        <f>数据表!D40</f>
        <v/>
      </c>
      <c r="Z41" s="315">
        <v>89</v>
      </c>
      <c r="AA41" s="11" t="str">
        <f>IFERROR(VLOOKUP(AC41,法术大全!A:W,2,FALSE),"")</f>
        <v/>
      </c>
      <c r="AB41" s="12" t="str">
        <f>数据表!C90</f>
        <v/>
      </c>
      <c r="AC41" s="245"/>
      <c r="AD41" s="273" t="str">
        <f>数据表!D90</f>
        <v/>
      </c>
      <c r="AE41" s="316">
        <v>139</v>
      </c>
      <c r="AF41" s="9" t="str">
        <f>IFERROR(VLOOKUP(AH41,法术大全!A:W,2,FALSE),"")</f>
        <v/>
      </c>
      <c r="AG41" s="10" t="str">
        <f>数据表!C140</f>
        <v/>
      </c>
      <c r="AH41" s="245" t="s">
        <v>2501</v>
      </c>
      <c r="AI41" s="273" t="str">
        <f>数据表!D140</f>
        <v/>
      </c>
      <c r="AJ41" s="318">
        <v>189</v>
      </c>
      <c r="AK41" s="11" t="str">
        <f>IFERROR(VLOOKUP(AM41,法术大全!A:W,2,FALSE),"")</f>
        <v/>
      </c>
      <c r="AL41" s="10" t="str">
        <f>数据表!C190</f>
        <v/>
      </c>
      <c r="AM41" s="245"/>
      <c r="AN41" s="273" t="str">
        <f>数据表!D190</f>
        <v/>
      </c>
      <c r="AO41" s="328"/>
      <c r="AQ41" s="923"/>
      <c r="AR41" s="924"/>
      <c r="AS41" s="924"/>
      <c r="AT41" s="924"/>
      <c r="AU41" s="924"/>
      <c r="AV41" s="924"/>
      <c r="AW41" s="924"/>
      <c r="AX41" s="925"/>
    </row>
    <row r="42" spans="2:50" ht="17.55" customHeight="1">
      <c r="B42" s="940"/>
      <c r="C42" s="923"/>
      <c r="D42" s="924"/>
      <c r="E42" s="924"/>
      <c r="F42" s="924"/>
      <c r="G42" s="924"/>
      <c r="H42" s="924"/>
      <c r="I42" s="924"/>
      <c r="J42" s="924"/>
      <c r="K42" s="924"/>
      <c r="L42" s="924"/>
      <c r="M42" s="924"/>
      <c r="N42" s="924"/>
      <c r="O42" s="924"/>
      <c r="P42" s="924"/>
      <c r="Q42" s="924"/>
      <c r="R42" s="925"/>
      <c r="S42" s="939"/>
      <c r="T42" s="329"/>
      <c r="U42" s="315">
        <v>40</v>
      </c>
      <c r="V42" s="9" t="str">
        <f>IFERROR(VLOOKUP(X42,法术大全!A:W,2,FALSE),"")</f>
        <v/>
      </c>
      <c r="W42" s="10" t="str">
        <f>数据表!C41</f>
        <v/>
      </c>
      <c r="X42" s="245"/>
      <c r="Y42" s="273" t="str">
        <f>数据表!D41</f>
        <v/>
      </c>
      <c r="Z42" s="315">
        <v>90</v>
      </c>
      <c r="AA42" s="11" t="str">
        <f>IFERROR(VLOOKUP(AC42,法术大全!A:W,2,FALSE),"")</f>
        <v/>
      </c>
      <c r="AB42" s="12" t="str">
        <f>数据表!C91</f>
        <v/>
      </c>
      <c r="AC42" s="245"/>
      <c r="AD42" s="273" t="str">
        <f>数据表!D91</f>
        <v/>
      </c>
      <c r="AE42" s="316">
        <v>140</v>
      </c>
      <c r="AF42" s="9" t="str">
        <f>IFERROR(VLOOKUP(AH42,法术大全!A:W,2,FALSE),"")</f>
        <v/>
      </c>
      <c r="AG42" s="10" t="str">
        <f>数据表!C141</f>
        <v/>
      </c>
      <c r="AH42" s="245" t="s">
        <v>2501</v>
      </c>
      <c r="AI42" s="273" t="str">
        <f>数据表!D141</f>
        <v/>
      </c>
      <c r="AJ42" s="318">
        <v>190</v>
      </c>
      <c r="AK42" s="11" t="str">
        <f>IFERROR(VLOOKUP(AM42,法术大全!A:W,2,FALSE),"")</f>
        <v/>
      </c>
      <c r="AL42" s="10" t="str">
        <f>数据表!C191</f>
        <v/>
      </c>
      <c r="AM42" s="245"/>
      <c r="AN42" s="273" t="str">
        <f>数据表!D191</f>
        <v/>
      </c>
      <c r="AO42" s="328"/>
      <c r="AQ42" s="923"/>
      <c r="AR42" s="924"/>
      <c r="AS42" s="924"/>
      <c r="AT42" s="924"/>
      <c r="AU42" s="924"/>
      <c r="AV42" s="924"/>
      <c r="AW42" s="924"/>
      <c r="AX42" s="925"/>
    </row>
    <row r="43" spans="2:50" ht="17.55" customHeight="1">
      <c r="B43" s="940"/>
      <c r="C43" s="923"/>
      <c r="D43" s="924"/>
      <c r="E43" s="924"/>
      <c r="F43" s="924"/>
      <c r="G43" s="924"/>
      <c r="H43" s="924"/>
      <c r="I43" s="924"/>
      <c r="J43" s="924"/>
      <c r="K43" s="924"/>
      <c r="L43" s="924"/>
      <c r="M43" s="924"/>
      <c r="N43" s="924"/>
      <c r="O43" s="924"/>
      <c r="P43" s="924"/>
      <c r="Q43" s="924"/>
      <c r="R43" s="925"/>
      <c r="S43" s="939"/>
      <c r="T43" s="329"/>
      <c r="U43" s="315">
        <v>41</v>
      </c>
      <c r="V43" s="9" t="str">
        <f>IFERROR(VLOOKUP(X43,法术大全!A:W,2,FALSE),"")</f>
        <v/>
      </c>
      <c r="W43" s="10" t="str">
        <f>数据表!C42</f>
        <v/>
      </c>
      <c r="X43" s="245"/>
      <c r="Y43" s="273" t="str">
        <f>数据表!D42</f>
        <v/>
      </c>
      <c r="Z43" s="315">
        <v>91</v>
      </c>
      <c r="AA43" s="11" t="str">
        <f>IFERROR(VLOOKUP(AC43,法术大全!A:W,2,FALSE),"")</f>
        <v/>
      </c>
      <c r="AB43" s="10" t="str">
        <f>数据表!C92</f>
        <v/>
      </c>
      <c r="AC43" s="245"/>
      <c r="AD43" s="273" t="str">
        <f>数据表!D92</f>
        <v/>
      </c>
      <c r="AE43" s="316">
        <v>141</v>
      </c>
      <c r="AF43" s="9" t="str">
        <f>IFERROR(VLOOKUP(AH43,法术大全!A:W,2,FALSE),"")</f>
        <v/>
      </c>
      <c r="AG43" s="10" t="str">
        <f>数据表!C142</f>
        <v/>
      </c>
      <c r="AH43" s="245" t="s">
        <v>2501</v>
      </c>
      <c r="AI43" s="273" t="str">
        <f>数据表!D142</f>
        <v/>
      </c>
      <c r="AJ43" s="318">
        <v>191</v>
      </c>
      <c r="AK43" s="11" t="str">
        <f>IFERROR(VLOOKUP(AM43,法术大全!A:W,2,FALSE),"")</f>
        <v/>
      </c>
      <c r="AL43" s="10" t="str">
        <f>数据表!C192</f>
        <v/>
      </c>
      <c r="AM43" s="245"/>
      <c r="AN43" s="273" t="str">
        <f>数据表!D192</f>
        <v/>
      </c>
      <c r="AO43" s="328"/>
      <c r="AQ43" s="923"/>
      <c r="AR43" s="924"/>
      <c r="AS43" s="924"/>
      <c r="AT43" s="924"/>
      <c r="AU43" s="924"/>
      <c r="AV43" s="924"/>
      <c r="AW43" s="924"/>
      <c r="AX43" s="925"/>
    </row>
    <row r="44" spans="2:50" ht="17.55" customHeight="1">
      <c r="B44" s="940"/>
      <c r="C44" s="923"/>
      <c r="D44" s="924"/>
      <c r="E44" s="924"/>
      <c r="F44" s="924"/>
      <c r="G44" s="924"/>
      <c r="H44" s="924"/>
      <c r="I44" s="924"/>
      <c r="J44" s="924"/>
      <c r="K44" s="924"/>
      <c r="L44" s="924"/>
      <c r="M44" s="924"/>
      <c r="N44" s="924"/>
      <c r="O44" s="924"/>
      <c r="P44" s="924"/>
      <c r="Q44" s="924"/>
      <c r="R44" s="925"/>
      <c r="S44" s="939"/>
      <c r="T44" s="329"/>
      <c r="U44" s="315">
        <v>42</v>
      </c>
      <c r="V44" s="9" t="str">
        <f>IFERROR(VLOOKUP(X44,法术大全!A:W,2,FALSE),"")</f>
        <v/>
      </c>
      <c r="W44" s="10" t="str">
        <f>数据表!C43</f>
        <v/>
      </c>
      <c r="X44" s="245"/>
      <c r="Y44" s="273" t="str">
        <f>数据表!D43</f>
        <v/>
      </c>
      <c r="Z44" s="315">
        <v>92</v>
      </c>
      <c r="AA44" s="11" t="str">
        <f>IFERROR(VLOOKUP(AC44,法术大全!A:W,2,FALSE),"")</f>
        <v/>
      </c>
      <c r="AB44" s="10" t="str">
        <f>数据表!C93</f>
        <v/>
      </c>
      <c r="AC44" s="245"/>
      <c r="AD44" s="273" t="str">
        <f>数据表!D93</f>
        <v/>
      </c>
      <c r="AE44" s="316">
        <v>142</v>
      </c>
      <c r="AF44" s="9" t="str">
        <f>IFERROR(VLOOKUP(AH44,法术大全!A:W,2,FALSE),"")</f>
        <v/>
      </c>
      <c r="AG44" s="10" t="str">
        <f>数据表!C143</f>
        <v/>
      </c>
      <c r="AH44" s="245" t="s">
        <v>2501</v>
      </c>
      <c r="AI44" s="273" t="str">
        <f>数据表!D143</f>
        <v/>
      </c>
      <c r="AJ44" s="318">
        <v>192</v>
      </c>
      <c r="AK44" s="11" t="str">
        <f>IFERROR(VLOOKUP(AM44,法术大全!A:W,2,FALSE),"")</f>
        <v/>
      </c>
      <c r="AL44" s="10" t="str">
        <f>数据表!C193</f>
        <v/>
      </c>
      <c r="AM44" s="245"/>
      <c r="AN44" s="273" t="str">
        <f>数据表!D193</f>
        <v/>
      </c>
      <c r="AO44" s="328"/>
      <c r="AQ44" s="923"/>
      <c r="AR44" s="924"/>
      <c r="AS44" s="924"/>
      <c r="AT44" s="924"/>
      <c r="AU44" s="924"/>
      <c r="AV44" s="924"/>
      <c r="AW44" s="924"/>
      <c r="AX44" s="925"/>
    </row>
    <row r="45" spans="2:50" ht="17.55" customHeight="1">
      <c r="B45" s="940"/>
      <c r="C45" s="923"/>
      <c r="D45" s="924"/>
      <c r="E45" s="924"/>
      <c r="F45" s="924"/>
      <c r="G45" s="924"/>
      <c r="H45" s="924"/>
      <c r="I45" s="924"/>
      <c r="J45" s="924"/>
      <c r="K45" s="924"/>
      <c r="L45" s="924"/>
      <c r="M45" s="924"/>
      <c r="N45" s="924"/>
      <c r="O45" s="924"/>
      <c r="P45" s="924"/>
      <c r="Q45" s="924"/>
      <c r="R45" s="925"/>
      <c r="S45" s="939"/>
      <c r="T45" s="329"/>
      <c r="U45" s="315">
        <v>43</v>
      </c>
      <c r="V45" s="9" t="str">
        <f>IFERROR(VLOOKUP(X45,法术大全!A:W,2,FALSE),"")</f>
        <v/>
      </c>
      <c r="W45" s="10" t="str">
        <f>数据表!C44</f>
        <v/>
      </c>
      <c r="X45" s="245"/>
      <c r="Y45" s="273" t="str">
        <f>数据表!D44</f>
        <v/>
      </c>
      <c r="Z45" s="315">
        <v>93</v>
      </c>
      <c r="AA45" s="11" t="str">
        <f>IFERROR(VLOOKUP(AC45,法术大全!A:W,2,FALSE),"")</f>
        <v/>
      </c>
      <c r="AB45" s="10" t="str">
        <f>数据表!C94</f>
        <v/>
      </c>
      <c r="AC45" s="245"/>
      <c r="AD45" s="273" t="str">
        <f>数据表!D94</f>
        <v/>
      </c>
      <c r="AE45" s="316">
        <v>143</v>
      </c>
      <c r="AF45" s="9" t="str">
        <f>IFERROR(VLOOKUP(AH45,法术大全!A:W,2,FALSE),"")</f>
        <v/>
      </c>
      <c r="AG45" s="10" t="str">
        <f>数据表!C144</f>
        <v/>
      </c>
      <c r="AH45" s="245" t="s">
        <v>2501</v>
      </c>
      <c r="AI45" s="273" t="str">
        <f>数据表!D144</f>
        <v/>
      </c>
      <c r="AJ45" s="318">
        <v>193</v>
      </c>
      <c r="AK45" s="11" t="str">
        <f>IFERROR(VLOOKUP(AM45,法术大全!A:W,2,FALSE),"")</f>
        <v/>
      </c>
      <c r="AL45" s="10" t="str">
        <f>数据表!C194</f>
        <v/>
      </c>
      <c r="AM45" s="245"/>
      <c r="AN45" s="273" t="str">
        <f>数据表!D194</f>
        <v/>
      </c>
      <c r="AO45" s="328"/>
      <c r="AQ45" s="923"/>
      <c r="AR45" s="924"/>
      <c r="AS45" s="924"/>
      <c r="AT45" s="924"/>
      <c r="AU45" s="924"/>
      <c r="AV45" s="924"/>
      <c r="AW45" s="924"/>
      <c r="AX45" s="925"/>
    </row>
    <row r="46" spans="2:50" ht="17.55" customHeight="1">
      <c r="B46" s="940"/>
      <c r="C46" s="923"/>
      <c r="D46" s="924"/>
      <c r="E46" s="924"/>
      <c r="F46" s="924"/>
      <c r="G46" s="924"/>
      <c r="H46" s="924"/>
      <c r="I46" s="924"/>
      <c r="J46" s="924"/>
      <c r="K46" s="924"/>
      <c r="L46" s="924"/>
      <c r="M46" s="924"/>
      <c r="N46" s="924"/>
      <c r="O46" s="924"/>
      <c r="P46" s="924"/>
      <c r="Q46" s="924"/>
      <c r="R46" s="925"/>
      <c r="S46" s="939"/>
      <c r="T46" s="329"/>
      <c r="U46" s="315">
        <v>44</v>
      </c>
      <c r="V46" s="9" t="str">
        <f>IFERROR(VLOOKUP(X46,法术大全!A:W,2,FALSE),"")</f>
        <v/>
      </c>
      <c r="W46" s="10" t="str">
        <f>数据表!C45</f>
        <v/>
      </c>
      <c r="X46" s="245"/>
      <c r="Y46" s="273" t="str">
        <f>数据表!D45</f>
        <v/>
      </c>
      <c r="Z46" s="315">
        <v>94</v>
      </c>
      <c r="AA46" s="11" t="str">
        <f>IFERROR(VLOOKUP(AC46,法术大全!A:W,2,FALSE),"")</f>
        <v/>
      </c>
      <c r="AB46" s="10" t="str">
        <f>数据表!C95</f>
        <v/>
      </c>
      <c r="AC46" s="245"/>
      <c r="AD46" s="273" t="str">
        <f>数据表!D95</f>
        <v/>
      </c>
      <c r="AE46" s="316">
        <v>144</v>
      </c>
      <c r="AF46" s="9" t="str">
        <f>IFERROR(VLOOKUP(AH46,法术大全!A:W,2,FALSE),"")</f>
        <v/>
      </c>
      <c r="AG46" s="10" t="str">
        <f>数据表!C145</f>
        <v/>
      </c>
      <c r="AH46" s="245" t="s">
        <v>2501</v>
      </c>
      <c r="AI46" s="273" t="str">
        <f>数据表!D145</f>
        <v/>
      </c>
      <c r="AJ46" s="318">
        <v>194</v>
      </c>
      <c r="AK46" s="11" t="str">
        <f>IFERROR(VLOOKUP(AM46,法术大全!A:W,2,FALSE),"")</f>
        <v/>
      </c>
      <c r="AL46" s="10" t="str">
        <f>数据表!C195</f>
        <v/>
      </c>
      <c r="AM46" s="245"/>
      <c r="AN46" s="273" t="str">
        <f>数据表!D195</f>
        <v/>
      </c>
      <c r="AO46" s="328"/>
      <c r="AQ46" s="923"/>
      <c r="AR46" s="924"/>
      <c r="AS46" s="924"/>
      <c r="AT46" s="924"/>
      <c r="AU46" s="924"/>
      <c r="AV46" s="924"/>
      <c r="AW46" s="924"/>
      <c r="AX46" s="925"/>
    </row>
    <row r="47" spans="2:50" ht="17.55" customHeight="1">
      <c r="B47" s="940"/>
      <c r="C47" s="923"/>
      <c r="D47" s="924"/>
      <c r="E47" s="924"/>
      <c r="F47" s="924"/>
      <c r="G47" s="924"/>
      <c r="H47" s="924"/>
      <c r="I47" s="924"/>
      <c r="J47" s="924"/>
      <c r="K47" s="924"/>
      <c r="L47" s="924"/>
      <c r="M47" s="924"/>
      <c r="N47" s="924"/>
      <c r="O47" s="924"/>
      <c r="P47" s="924"/>
      <c r="Q47" s="924"/>
      <c r="R47" s="925"/>
      <c r="S47" s="939"/>
      <c r="T47" s="329"/>
      <c r="U47" s="315">
        <v>45</v>
      </c>
      <c r="V47" s="9" t="str">
        <f>IFERROR(VLOOKUP(X47,法术大全!A:W,2,FALSE),"")</f>
        <v/>
      </c>
      <c r="W47" s="10" t="str">
        <f>数据表!C46</f>
        <v/>
      </c>
      <c r="X47" s="245"/>
      <c r="Y47" s="273" t="str">
        <f>数据表!D46</f>
        <v/>
      </c>
      <c r="Z47" s="315">
        <v>95</v>
      </c>
      <c r="AA47" s="11" t="str">
        <f>IFERROR(VLOOKUP(AC47,法术大全!A:W,2,FALSE),"")</f>
        <v/>
      </c>
      <c r="AB47" s="10" t="str">
        <f>数据表!C96</f>
        <v/>
      </c>
      <c r="AC47" s="245"/>
      <c r="AD47" s="273" t="str">
        <f>数据表!D96</f>
        <v/>
      </c>
      <c r="AE47" s="316">
        <v>145</v>
      </c>
      <c r="AF47" s="9" t="str">
        <f>IFERROR(VLOOKUP(AH47,法术大全!A:W,2,FALSE),"")</f>
        <v/>
      </c>
      <c r="AG47" s="10" t="str">
        <f>数据表!C146</f>
        <v/>
      </c>
      <c r="AH47" s="245" t="s">
        <v>2501</v>
      </c>
      <c r="AI47" s="273" t="str">
        <f>数据表!D146</f>
        <v/>
      </c>
      <c r="AJ47" s="318">
        <v>195</v>
      </c>
      <c r="AK47" s="11" t="str">
        <f>IFERROR(VLOOKUP(AM47,法术大全!A:W,2,FALSE),"")</f>
        <v/>
      </c>
      <c r="AL47" s="10" t="str">
        <f>数据表!C196</f>
        <v/>
      </c>
      <c r="AM47" s="245"/>
      <c r="AN47" s="273" t="str">
        <f>数据表!D196</f>
        <v/>
      </c>
      <c r="AO47" s="328"/>
      <c r="AQ47" s="923"/>
      <c r="AR47" s="924"/>
      <c r="AS47" s="924"/>
      <c r="AT47" s="924"/>
      <c r="AU47" s="924"/>
      <c r="AV47" s="924"/>
      <c r="AW47" s="924"/>
      <c r="AX47" s="925"/>
    </row>
    <row r="48" spans="2:50" ht="17.55" customHeight="1">
      <c r="B48" s="940"/>
      <c r="C48" s="923"/>
      <c r="D48" s="924"/>
      <c r="E48" s="924"/>
      <c r="F48" s="924"/>
      <c r="G48" s="924"/>
      <c r="H48" s="924"/>
      <c r="I48" s="924"/>
      <c r="J48" s="924"/>
      <c r="K48" s="924"/>
      <c r="L48" s="924"/>
      <c r="M48" s="924"/>
      <c r="N48" s="924"/>
      <c r="O48" s="924"/>
      <c r="P48" s="924"/>
      <c r="Q48" s="924"/>
      <c r="R48" s="925"/>
      <c r="S48" s="939"/>
      <c r="T48" s="329"/>
      <c r="U48" s="315">
        <v>46</v>
      </c>
      <c r="V48" s="9" t="str">
        <f>IFERROR(VLOOKUP(X48,法术大全!A:W,2,FALSE),"")</f>
        <v/>
      </c>
      <c r="W48" s="12" t="str">
        <f>数据表!C47</f>
        <v/>
      </c>
      <c r="X48" s="245"/>
      <c r="Y48" s="273" t="str">
        <f>数据表!D47</f>
        <v/>
      </c>
      <c r="Z48" s="315">
        <v>96</v>
      </c>
      <c r="AA48" s="11" t="str">
        <f>IFERROR(VLOOKUP(AC48,法术大全!A:W,2,FALSE),"")</f>
        <v/>
      </c>
      <c r="AB48" s="10" t="str">
        <f>数据表!C97</f>
        <v/>
      </c>
      <c r="AC48" s="245"/>
      <c r="AD48" s="273" t="str">
        <f>数据表!D97</f>
        <v/>
      </c>
      <c r="AE48" s="316">
        <v>146</v>
      </c>
      <c r="AF48" s="9" t="str">
        <f>IFERROR(VLOOKUP(AH48,法术大全!A:W,2,FALSE),"")</f>
        <v/>
      </c>
      <c r="AG48" s="10" t="str">
        <f>数据表!C147</f>
        <v/>
      </c>
      <c r="AH48" s="245" t="s">
        <v>2501</v>
      </c>
      <c r="AI48" s="273" t="str">
        <f>数据表!D147</f>
        <v/>
      </c>
      <c r="AJ48" s="318">
        <v>196</v>
      </c>
      <c r="AK48" s="11" t="str">
        <f>IFERROR(VLOOKUP(AM48,法术大全!A:W,2,FALSE),"")</f>
        <v/>
      </c>
      <c r="AL48" s="10" t="str">
        <f>数据表!C197</f>
        <v/>
      </c>
      <c r="AM48" s="245"/>
      <c r="AN48" s="273" t="str">
        <f>数据表!D197</f>
        <v/>
      </c>
      <c r="AO48" s="328"/>
      <c r="AQ48" s="923"/>
      <c r="AR48" s="924"/>
      <c r="AS48" s="924"/>
      <c r="AT48" s="924"/>
      <c r="AU48" s="924"/>
      <c r="AV48" s="924"/>
      <c r="AW48" s="924"/>
      <c r="AX48" s="925"/>
    </row>
    <row r="49" spans="2:50" ht="17.55" customHeight="1">
      <c r="B49" s="940"/>
      <c r="C49" s="923"/>
      <c r="D49" s="924"/>
      <c r="E49" s="924"/>
      <c r="F49" s="924"/>
      <c r="G49" s="924"/>
      <c r="H49" s="924"/>
      <c r="I49" s="924"/>
      <c r="J49" s="924"/>
      <c r="K49" s="924"/>
      <c r="L49" s="924"/>
      <c r="M49" s="924"/>
      <c r="N49" s="924"/>
      <c r="O49" s="924"/>
      <c r="P49" s="924"/>
      <c r="Q49" s="924"/>
      <c r="R49" s="925"/>
      <c r="S49" s="939"/>
      <c r="T49" s="329"/>
      <c r="U49" s="315">
        <v>47</v>
      </c>
      <c r="V49" s="9" t="str">
        <f>IFERROR(VLOOKUP(X49,法术大全!A:W,2,FALSE),"")</f>
        <v/>
      </c>
      <c r="W49" s="12" t="str">
        <f>数据表!C48</f>
        <v/>
      </c>
      <c r="X49" s="245"/>
      <c r="Y49" s="273" t="str">
        <f>数据表!D48</f>
        <v/>
      </c>
      <c r="Z49" s="315">
        <v>97</v>
      </c>
      <c r="AA49" s="11" t="str">
        <f>IFERROR(VLOOKUP(AC49,法术大全!A:W,2,FALSE),"")</f>
        <v/>
      </c>
      <c r="AB49" s="10" t="str">
        <f>数据表!C98</f>
        <v/>
      </c>
      <c r="AC49" s="245"/>
      <c r="AD49" s="273" t="str">
        <f>数据表!D98</f>
        <v/>
      </c>
      <c r="AE49" s="316">
        <v>147</v>
      </c>
      <c r="AF49" s="9" t="str">
        <f>IFERROR(VLOOKUP(AH49,法术大全!A:W,2,FALSE),"")</f>
        <v/>
      </c>
      <c r="AG49" s="10" t="str">
        <f>数据表!C148</f>
        <v/>
      </c>
      <c r="AH49" s="245" t="s">
        <v>2501</v>
      </c>
      <c r="AI49" s="273" t="str">
        <f>数据表!D148</f>
        <v/>
      </c>
      <c r="AJ49" s="318">
        <v>197</v>
      </c>
      <c r="AK49" s="11" t="str">
        <f>IFERROR(VLOOKUP(AM49,法术大全!A:W,2,FALSE),"")</f>
        <v/>
      </c>
      <c r="AL49" s="10" t="str">
        <f>数据表!C198</f>
        <v/>
      </c>
      <c r="AM49" s="245"/>
      <c r="AN49" s="273" t="str">
        <f>数据表!D198</f>
        <v/>
      </c>
      <c r="AO49" s="328"/>
      <c r="AQ49" s="923"/>
      <c r="AR49" s="924"/>
      <c r="AS49" s="924"/>
      <c r="AT49" s="924"/>
      <c r="AU49" s="924"/>
      <c r="AV49" s="924"/>
      <c r="AW49" s="924"/>
      <c r="AX49" s="925"/>
    </row>
    <row r="50" spans="2:50" ht="17.55" customHeight="1">
      <c r="B50" s="940"/>
      <c r="C50" s="923"/>
      <c r="D50" s="924"/>
      <c r="E50" s="924"/>
      <c r="F50" s="924"/>
      <c r="G50" s="924"/>
      <c r="H50" s="924"/>
      <c r="I50" s="924"/>
      <c r="J50" s="924"/>
      <c r="K50" s="924"/>
      <c r="L50" s="924"/>
      <c r="M50" s="924"/>
      <c r="N50" s="924"/>
      <c r="O50" s="924"/>
      <c r="P50" s="924"/>
      <c r="Q50" s="924"/>
      <c r="R50" s="925"/>
      <c r="S50" s="939"/>
      <c r="T50" s="329"/>
      <c r="U50" s="315">
        <v>48</v>
      </c>
      <c r="V50" s="9" t="str">
        <f>IFERROR(VLOOKUP(X50,法术大全!A:W,2,FALSE),"")</f>
        <v/>
      </c>
      <c r="W50" s="12" t="str">
        <f>数据表!C49</f>
        <v/>
      </c>
      <c r="X50" s="245"/>
      <c r="Y50" s="273" t="str">
        <f>数据表!D49</f>
        <v/>
      </c>
      <c r="Z50" s="315">
        <v>98</v>
      </c>
      <c r="AA50" s="11" t="str">
        <f>IFERROR(VLOOKUP(AC50,法术大全!A:W,2,FALSE),"")</f>
        <v/>
      </c>
      <c r="AB50" s="10" t="str">
        <f>数据表!C99</f>
        <v/>
      </c>
      <c r="AC50" s="245"/>
      <c r="AD50" s="273" t="str">
        <f>数据表!D99</f>
        <v/>
      </c>
      <c r="AE50" s="316">
        <v>148</v>
      </c>
      <c r="AF50" s="9" t="str">
        <f>IFERROR(VLOOKUP(AH50,法术大全!A:W,2,FALSE),"")</f>
        <v/>
      </c>
      <c r="AG50" s="10" t="str">
        <f>数据表!C149</f>
        <v/>
      </c>
      <c r="AH50" s="245" t="s">
        <v>2501</v>
      </c>
      <c r="AI50" s="273" t="str">
        <f>数据表!D149</f>
        <v/>
      </c>
      <c r="AJ50" s="318">
        <v>198</v>
      </c>
      <c r="AK50" s="11" t="str">
        <f>IFERROR(VLOOKUP(AM50,法术大全!A:W,2,FALSE),"")</f>
        <v/>
      </c>
      <c r="AL50" s="10" t="str">
        <f>数据表!C199</f>
        <v/>
      </c>
      <c r="AM50" s="245"/>
      <c r="AN50" s="273" t="str">
        <f>数据表!D199</f>
        <v/>
      </c>
      <c r="AO50" s="328"/>
      <c r="AQ50" s="923"/>
      <c r="AR50" s="924"/>
      <c r="AS50" s="924"/>
      <c r="AT50" s="924"/>
      <c r="AU50" s="924"/>
      <c r="AV50" s="924"/>
      <c r="AW50" s="924"/>
      <c r="AX50" s="925"/>
    </row>
    <row r="51" spans="2:50" ht="17.55" customHeight="1">
      <c r="B51" s="940"/>
      <c r="C51" s="923"/>
      <c r="D51" s="924"/>
      <c r="E51" s="924"/>
      <c r="F51" s="924"/>
      <c r="G51" s="924"/>
      <c r="H51" s="924"/>
      <c r="I51" s="924"/>
      <c r="J51" s="924"/>
      <c r="K51" s="924"/>
      <c r="L51" s="924"/>
      <c r="M51" s="924"/>
      <c r="N51" s="924"/>
      <c r="O51" s="924"/>
      <c r="P51" s="924"/>
      <c r="Q51" s="924"/>
      <c r="R51" s="925"/>
      <c r="S51" s="939"/>
      <c r="T51" s="329"/>
      <c r="U51" s="315">
        <v>49</v>
      </c>
      <c r="V51" s="9" t="str">
        <f>IFERROR(VLOOKUP(X51,法术大全!A:W,2,FALSE),"")</f>
        <v/>
      </c>
      <c r="W51" s="12" t="str">
        <f>数据表!C50</f>
        <v/>
      </c>
      <c r="X51" s="245"/>
      <c r="Y51" s="273" t="str">
        <f>数据表!D50</f>
        <v/>
      </c>
      <c r="Z51" s="315">
        <v>99</v>
      </c>
      <c r="AA51" s="11" t="str">
        <f>IFERROR(VLOOKUP(AC51,法术大全!A:W,2,FALSE),"")</f>
        <v/>
      </c>
      <c r="AB51" s="10" t="str">
        <f>数据表!C100</f>
        <v/>
      </c>
      <c r="AC51" s="245"/>
      <c r="AD51" s="273" t="str">
        <f>数据表!D100</f>
        <v/>
      </c>
      <c r="AE51" s="316">
        <v>149</v>
      </c>
      <c r="AF51" s="9" t="str">
        <f>IFERROR(VLOOKUP(AH51,法术大全!A:W,2,FALSE),"")</f>
        <v/>
      </c>
      <c r="AG51" s="10" t="str">
        <f>数据表!C150</f>
        <v/>
      </c>
      <c r="AH51" s="245" t="s">
        <v>2501</v>
      </c>
      <c r="AI51" s="273" t="str">
        <f>数据表!D150</f>
        <v/>
      </c>
      <c r="AJ51" s="318">
        <v>199</v>
      </c>
      <c r="AK51" s="11" t="str">
        <f>IFERROR(VLOOKUP(AM51,法术大全!A:W,2,FALSE),"")</f>
        <v/>
      </c>
      <c r="AL51" s="10" t="str">
        <f>数据表!C200</f>
        <v/>
      </c>
      <c r="AM51" s="245"/>
      <c r="AN51" s="273" t="str">
        <f>数据表!D200</f>
        <v/>
      </c>
      <c r="AO51" s="328"/>
      <c r="AQ51" s="923"/>
      <c r="AR51" s="924"/>
      <c r="AS51" s="924"/>
      <c r="AT51" s="924"/>
      <c r="AU51" s="924"/>
      <c r="AV51" s="924"/>
      <c r="AW51" s="924"/>
      <c r="AX51" s="925"/>
    </row>
    <row r="52" spans="2:50" ht="17.55" customHeight="1">
      <c r="B52" s="322"/>
      <c r="C52" s="926"/>
      <c r="D52" s="927"/>
      <c r="E52" s="927"/>
      <c r="F52" s="927"/>
      <c r="G52" s="927"/>
      <c r="H52" s="927"/>
      <c r="I52" s="927"/>
      <c r="J52" s="927"/>
      <c r="K52" s="927"/>
      <c r="L52" s="927"/>
      <c r="M52" s="927"/>
      <c r="N52" s="927"/>
      <c r="O52" s="927"/>
      <c r="P52" s="927"/>
      <c r="Q52" s="927"/>
      <c r="R52" s="928"/>
      <c r="S52" s="939"/>
      <c r="T52" s="329"/>
      <c r="U52" s="315">
        <v>50</v>
      </c>
      <c r="V52" s="9" t="str">
        <f>IFERROR(VLOOKUP(X52,法术大全!A:W,2,FALSE),"")</f>
        <v/>
      </c>
      <c r="W52" s="12" t="str">
        <f>数据表!C51</f>
        <v/>
      </c>
      <c r="X52" s="245"/>
      <c r="Y52" s="273" t="str">
        <f>数据表!D51</f>
        <v/>
      </c>
      <c r="Z52" s="315">
        <v>100</v>
      </c>
      <c r="AA52" s="11" t="str">
        <f>IFERROR(VLOOKUP(AC52,法术大全!A:W,2,FALSE),"")</f>
        <v/>
      </c>
      <c r="AB52" s="10" t="str">
        <f>数据表!C101</f>
        <v/>
      </c>
      <c r="AC52" s="245"/>
      <c r="AD52" s="273" t="str">
        <f>数据表!D101</f>
        <v/>
      </c>
      <c r="AE52" s="316">
        <v>150</v>
      </c>
      <c r="AF52" s="9" t="str">
        <f>IFERROR(VLOOKUP(AH52,法术大全!A:W,2,FALSE),"")</f>
        <v/>
      </c>
      <c r="AG52" s="10" t="str">
        <f>数据表!C151</f>
        <v/>
      </c>
      <c r="AH52" s="245" t="s">
        <v>2501</v>
      </c>
      <c r="AI52" s="273" t="str">
        <f>数据表!D151</f>
        <v/>
      </c>
      <c r="AJ52" s="317">
        <v>200</v>
      </c>
      <c r="AK52" s="11" t="str">
        <f>IFERROR(VLOOKUP(AM52,法术大全!A:W,2,FALSE),"")</f>
        <v/>
      </c>
      <c r="AL52" s="10" t="str">
        <f>数据表!C201</f>
        <v/>
      </c>
      <c r="AM52" s="245"/>
      <c r="AN52" s="273" t="str">
        <f>数据表!D201</f>
        <v/>
      </c>
      <c r="AO52" s="328"/>
      <c r="AQ52" s="923"/>
      <c r="AR52" s="924"/>
      <c r="AS52" s="924"/>
      <c r="AT52" s="924"/>
      <c r="AU52" s="924"/>
      <c r="AV52" s="924"/>
      <c r="AW52" s="924"/>
      <c r="AX52" s="925"/>
    </row>
    <row r="53" spans="2:50" ht="17.55" customHeight="1">
      <c r="B53" s="323"/>
      <c r="C53" s="324"/>
      <c r="D53" s="324"/>
      <c r="E53" s="324"/>
      <c r="F53" s="324"/>
      <c r="G53" s="324"/>
      <c r="H53" s="324"/>
      <c r="I53" s="324"/>
      <c r="J53" s="324"/>
      <c r="K53" s="324"/>
      <c r="L53" s="324"/>
      <c r="M53" s="324"/>
      <c r="N53" s="324"/>
      <c r="O53" s="324"/>
      <c r="P53" s="324"/>
      <c r="Q53" s="324"/>
      <c r="R53" s="324"/>
      <c r="S53" s="325"/>
      <c r="T53" s="324"/>
      <c r="U53" s="324"/>
      <c r="V53" s="326"/>
      <c r="W53" s="326"/>
      <c r="X53" s="324"/>
      <c r="Y53" s="324"/>
      <c r="Z53" s="324"/>
      <c r="AA53" s="324"/>
      <c r="AB53" s="324"/>
      <c r="AC53" s="324"/>
      <c r="AD53" s="324"/>
      <c r="AE53" s="324"/>
      <c r="AF53" s="324"/>
      <c r="AG53" s="324"/>
      <c r="AH53" s="324"/>
      <c r="AI53" s="324"/>
      <c r="AJ53" s="324"/>
      <c r="AK53" s="327"/>
      <c r="AL53" s="324"/>
      <c r="AM53" s="324"/>
      <c r="AN53" s="324"/>
      <c r="AO53" s="325"/>
      <c r="AQ53" s="926"/>
      <c r="AR53" s="927"/>
      <c r="AS53" s="927"/>
      <c r="AT53" s="927"/>
      <c r="AU53" s="927"/>
      <c r="AV53" s="927"/>
      <c r="AW53" s="927"/>
      <c r="AX53" s="928"/>
    </row>
  </sheetData>
  <sheetProtection sheet="1" selectLockedCells="1"/>
  <mergeCells count="31">
    <mergeCell ref="AQ2:AX53"/>
    <mergeCell ref="B3:B51"/>
    <mergeCell ref="E13:E18"/>
    <mergeCell ref="C3:R6"/>
    <mergeCell ref="C9:D10"/>
    <mergeCell ref="K9:L10"/>
    <mergeCell ref="M9:N10"/>
    <mergeCell ref="O9:P10"/>
    <mergeCell ref="Q9:R10"/>
    <mergeCell ref="E9:J10"/>
    <mergeCell ref="C11:D12"/>
    <mergeCell ref="K11:L12"/>
    <mergeCell ref="C19:D20"/>
    <mergeCell ref="E19:R20"/>
    <mergeCell ref="C21:R21"/>
    <mergeCell ref="C22:E22"/>
    <mergeCell ref="O8:R8"/>
    <mergeCell ref="Z2:AI2"/>
    <mergeCell ref="C23:R52"/>
    <mergeCell ref="C2:F2"/>
    <mergeCell ref="U2:X2"/>
    <mergeCell ref="C7:R7"/>
    <mergeCell ref="C8:J8"/>
    <mergeCell ref="G22:R22"/>
    <mergeCell ref="E11:J12"/>
    <mergeCell ref="M11:R12"/>
    <mergeCell ref="C13:D18"/>
    <mergeCell ref="F13:G18"/>
    <mergeCell ref="H13:R18"/>
    <mergeCell ref="M8:N8"/>
    <mergeCell ref="S3:S52"/>
  </mergeCells>
  <phoneticPr fontId="49" type="noConversion"/>
  <conditionalFormatting sqref="W3:W52 AB3:AB52 AG3:AG52 AL3:AL52">
    <cfRule type="cellIs" dxfId="3" priority="14" operator="equal">
      <formula>"√"</formula>
    </cfRule>
  </conditionalFormatting>
  <conditionalFormatting sqref="X3:X52 AC3:AC52 AH3:AH52 AM3:AM52">
    <cfRule type="duplicateValues" dxfId="2" priority="16"/>
  </conditionalFormatting>
  <conditionalFormatting sqref="Y3:Y52 AD3:AD52 AI3:AI52 AN3:AN52">
    <cfRule type="cellIs" dxfId="1" priority="4" operator="equal">
      <formula>"√"</formula>
    </cfRule>
  </conditionalFormatting>
  <conditionalFormatting sqref="AM3:AM52">
    <cfRule type="duplicateValues" dxfId="0" priority="3"/>
  </conditionalFormatting>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showInputMessage="1" xr:uid="{00000000-0002-0000-0600-000000000000}">
          <x14:formula1>
            <xm:f>OFFSET(法术大全!$A$3,,,SUMPRODUCT(N(LEN(法术大全!$A$3:$A$574)&gt;0)),)</xm:f>
          </x14:formula1>
          <xm:sqref>AC3:AC52 AM3:AM52 AH3:AH52 X3:X52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8455F-4F6C-45D0-91EC-CC23DC20C62F}">
  <sheetPr codeName="Sheet11">
    <tabColor theme="8" tint="-0.249977111117893"/>
  </sheetPr>
  <dimension ref="A1:Z574"/>
  <sheetViews>
    <sheetView workbookViewId="0">
      <pane ySplit="2" topLeftCell="A3" activePane="bottomLeft" state="frozen"/>
      <selection activeCell="AE97" sqref="AE97:AI97"/>
      <selection pane="bottomLeft" activeCell="AE97" sqref="AE97:AI97"/>
    </sheetView>
  </sheetViews>
  <sheetFormatPr defaultRowHeight="16.95" customHeight="1"/>
  <cols>
    <col min="1" max="1" width="16.77734375" style="71" customWidth="1"/>
    <col min="2" max="2" width="4.88671875" style="69" customWidth="1"/>
    <col min="3" max="3" width="13.88671875" style="69" bestFit="1" customWidth="1"/>
    <col min="4" max="5" width="4.77734375" style="69" customWidth="1"/>
    <col min="6" max="6" width="10.77734375" style="72" customWidth="1"/>
    <col min="7" max="7" width="10.77734375" style="71" customWidth="1"/>
    <col min="8" max="10" width="3.77734375" style="69" customWidth="1"/>
    <col min="11" max="11" width="6.77734375" style="71" customWidth="1"/>
    <col min="12" max="12" width="16.77734375" style="71" customWidth="1"/>
    <col min="13" max="13" width="32.44140625" style="174" customWidth="1"/>
    <col min="14" max="14" width="8.88671875" style="313"/>
    <col min="15" max="23" width="4.77734375" style="69" customWidth="1"/>
    <col min="24" max="24" width="8.88671875" style="385"/>
    <col min="25" max="25" width="8.88671875" style="72"/>
    <col min="26" max="16384" width="8.88671875" style="71"/>
  </cols>
  <sheetData>
    <row r="1" spans="1:26" s="69" customFormat="1" ht="14.4" customHeight="1">
      <c r="A1" s="69">
        <v>1</v>
      </c>
      <c r="B1" s="69">
        <v>2</v>
      </c>
      <c r="C1" s="69">
        <v>3</v>
      </c>
      <c r="D1" s="69">
        <v>4</v>
      </c>
      <c r="E1" s="69">
        <v>5</v>
      </c>
      <c r="F1" s="70">
        <v>6</v>
      </c>
      <c r="G1" s="69">
        <v>7</v>
      </c>
      <c r="H1" s="69">
        <v>8</v>
      </c>
      <c r="I1" s="69">
        <v>9</v>
      </c>
      <c r="J1" s="69">
        <v>10</v>
      </c>
      <c r="K1" s="69">
        <v>11</v>
      </c>
      <c r="L1" s="69">
        <v>12</v>
      </c>
      <c r="M1" s="70">
        <v>13</v>
      </c>
      <c r="N1" s="314">
        <v>14</v>
      </c>
      <c r="O1" s="70">
        <v>15</v>
      </c>
      <c r="P1" s="70">
        <v>16</v>
      </c>
      <c r="Q1" s="70">
        <v>17</v>
      </c>
      <c r="R1" s="70">
        <v>18</v>
      </c>
      <c r="S1" s="70">
        <v>19</v>
      </c>
      <c r="T1" s="70">
        <v>20</v>
      </c>
      <c r="U1" s="70">
        <v>21</v>
      </c>
      <c r="V1" s="70">
        <v>22</v>
      </c>
      <c r="W1" s="70">
        <v>23</v>
      </c>
      <c r="X1" s="70">
        <v>26</v>
      </c>
      <c r="Y1" s="70"/>
    </row>
    <row r="2" spans="1:26" ht="14.4" customHeight="1">
      <c r="A2" s="296" t="s">
        <v>126</v>
      </c>
      <c r="B2" s="296" t="s">
        <v>2420</v>
      </c>
      <c r="C2" s="296" t="s">
        <v>2951</v>
      </c>
      <c r="D2" s="296" t="s">
        <v>2952</v>
      </c>
      <c r="E2" s="296" t="s">
        <v>4529</v>
      </c>
      <c r="F2" s="178" t="s">
        <v>2421</v>
      </c>
      <c r="G2" s="177" t="s">
        <v>127</v>
      </c>
      <c r="H2" s="177" t="s">
        <v>2953</v>
      </c>
      <c r="I2" s="177" t="s">
        <v>2954</v>
      </c>
      <c r="J2" s="177" t="s">
        <v>2955</v>
      </c>
      <c r="K2" s="177" t="s">
        <v>2956</v>
      </c>
      <c r="L2" s="179" t="s">
        <v>128</v>
      </c>
      <c r="M2" s="174" t="s">
        <v>2957</v>
      </c>
      <c r="N2" s="180" t="s">
        <v>2958</v>
      </c>
      <c r="O2" s="177" t="s">
        <v>175</v>
      </c>
      <c r="P2" s="177" t="s">
        <v>197</v>
      </c>
      <c r="Q2" s="177" t="s">
        <v>209</v>
      </c>
      <c r="R2" s="177" t="s">
        <v>203</v>
      </c>
      <c r="S2" s="177" t="s">
        <v>235</v>
      </c>
      <c r="T2" s="177" t="s">
        <v>221</v>
      </c>
      <c r="U2" s="177" t="s">
        <v>1990</v>
      </c>
      <c r="V2" s="177" t="s">
        <v>230</v>
      </c>
      <c r="W2" s="177" t="s">
        <v>473</v>
      </c>
      <c r="X2" s="181" t="s">
        <v>136</v>
      </c>
      <c r="Y2" s="384"/>
      <c r="Z2" s="68"/>
    </row>
    <row r="3" spans="1:26" ht="16.95" customHeight="1">
      <c r="A3" s="182" t="s">
        <v>6016</v>
      </c>
      <c r="B3" s="297">
        <v>0</v>
      </c>
      <c r="C3" s="297" t="s">
        <v>2443</v>
      </c>
      <c r="D3" s="297"/>
      <c r="E3" s="297"/>
      <c r="F3" s="183" t="s">
        <v>5971</v>
      </c>
      <c r="G3" s="182" t="s">
        <v>2461</v>
      </c>
      <c r="H3" s="297" t="s">
        <v>2498</v>
      </c>
      <c r="I3" s="297" t="s">
        <v>2500</v>
      </c>
      <c r="J3" s="297"/>
      <c r="K3" s="182"/>
      <c r="L3" s="184" t="s">
        <v>2465</v>
      </c>
      <c r="M3" s="185" t="s">
        <v>4021</v>
      </c>
      <c r="N3" s="305" t="s">
        <v>2920</v>
      </c>
      <c r="O3" s="297"/>
      <c r="P3" s="297"/>
      <c r="Q3" s="297"/>
      <c r="R3" s="297"/>
      <c r="S3" s="297"/>
      <c r="T3" s="297" t="s">
        <v>256</v>
      </c>
      <c r="U3" s="297"/>
      <c r="V3" s="297" t="s">
        <v>256</v>
      </c>
      <c r="W3" s="297" t="s">
        <v>256</v>
      </c>
      <c r="X3" s="177" t="s">
        <v>2959</v>
      </c>
    </row>
    <row r="4" spans="1:26" ht="16.95" customHeight="1">
      <c r="A4" s="186" t="s">
        <v>2031</v>
      </c>
      <c r="B4" s="298">
        <v>0</v>
      </c>
      <c r="C4" s="298" t="s">
        <v>2433</v>
      </c>
      <c r="D4" s="298"/>
      <c r="E4" s="298"/>
      <c r="F4" s="187" t="s">
        <v>5971</v>
      </c>
      <c r="G4" s="186" t="s">
        <v>2475</v>
      </c>
      <c r="H4" s="298" t="s">
        <v>2498</v>
      </c>
      <c r="I4" s="298" t="s">
        <v>2500</v>
      </c>
      <c r="J4" s="298"/>
      <c r="K4" s="186"/>
      <c r="L4" s="188" t="s">
        <v>2442</v>
      </c>
      <c r="M4" s="189" t="s">
        <v>4022</v>
      </c>
      <c r="N4" s="306" t="s">
        <v>2896</v>
      </c>
      <c r="O4" s="298" t="s">
        <v>256</v>
      </c>
      <c r="P4" s="298"/>
      <c r="Q4" s="298"/>
      <c r="R4" s="298"/>
      <c r="S4" s="298"/>
      <c r="T4" s="298" t="s">
        <v>256</v>
      </c>
      <c r="U4" s="298" t="s">
        <v>256</v>
      </c>
      <c r="V4" s="298" t="s">
        <v>256</v>
      </c>
      <c r="W4" s="298"/>
      <c r="X4" s="177" t="s">
        <v>2959</v>
      </c>
    </row>
    <row r="5" spans="1:26" ht="16.95" customHeight="1">
      <c r="A5" s="190" t="s">
        <v>2030</v>
      </c>
      <c r="B5" s="299">
        <v>0</v>
      </c>
      <c r="C5" s="299" t="s">
        <v>2429</v>
      </c>
      <c r="D5" s="299"/>
      <c r="E5" s="299"/>
      <c r="F5" s="191" t="s">
        <v>5971</v>
      </c>
      <c r="G5" s="190" t="s">
        <v>2491</v>
      </c>
      <c r="H5" s="299"/>
      <c r="I5" s="299" t="s">
        <v>2500</v>
      </c>
      <c r="J5" s="299" t="s">
        <v>2960</v>
      </c>
      <c r="K5" s="190" t="s">
        <v>2961</v>
      </c>
      <c r="L5" s="192" t="s">
        <v>2442</v>
      </c>
      <c r="M5" s="193" t="s">
        <v>4023</v>
      </c>
      <c r="N5" s="307" t="s">
        <v>2907</v>
      </c>
      <c r="O5" s="299"/>
      <c r="P5" s="299"/>
      <c r="Q5" s="299"/>
      <c r="R5" s="299"/>
      <c r="S5" s="299"/>
      <c r="T5" s="299" t="s">
        <v>256</v>
      </c>
      <c r="U5" s="299" t="s">
        <v>256</v>
      </c>
      <c r="V5" s="299" t="s">
        <v>256</v>
      </c>
      <c r="W5" s="299" t="s">
        <v>256</v>
      </c>
      <c r="X5" s="177" t="s">
        <v>2962</v>
      </c>
    </row>
    <row r="6" spans="1:26" ht="16.95" customHeight="1">
      <c r="A6" s="194" t="s">
        <v>6493</v>
      </c>
      <c r="B6" s="300">
        <v>0</v>
      </c>
      <c r="C6" s="300" t="s">
        <v>2437</v>
      </c>
      <c r="D6" s="300"/>
      <c r="E6" s="300"/>
      <c r="F6" s="195" t="s">
        <v>5971</v>
      </c>
      <c r="G6" s="194" t="s">
        <v>2435</v>
      </c>
      <c r="H6" s="300" t="s">
        <v>2498</v>
      </c>
      <c r="I6" s="300" t="s">
        <v>2500</v>
      </c>
      <c r="J6" s="300"/>
      <c r="K6" s="194"/>
      <c r="L6" s="196" t="s">
        <v>2442</v>
      </c>
      <c r="M6" s="197" t="s">
        <v>4024</v>
      </c>
      <c r="N6" s="308" t="s">
        <v>2902</v>
      </c>
      <c r="O6" s="300"/>
      <c r="P6" s="300"/>
      <c r="Q6" s="300"/>
      <c r="R6" s="300"/>
      <c r="S6" s="300"/>
      <c r="T6" s="300" t="s">
        <v>256</v>
      </c>
      <c r="U6" s="300" t="s">
        <v>256</v>
      </c>
      <c r="V6" s="300" t="s">
        <v>256</v>
      </c>
      <c r="W6" s="300"/>
      <c r="X6" s="177" t="s">
        <v>2959</v>
      </c>
    </row>
    <row r="7" spans="1:26" ht="16.95" customHeight="1">
      <c r="A7" s="198" t="s">
        <v>2069</v>
      </c>
      <c r="B7" s="301">
        <v>0</v>
      </c>
      <c r="C7" s="301" t="s">
        <v>2425</v>
      </c>
      <c r="D7" s="301"/>
      <c r="E7" s="301"/>
      <c r="F7" s="199" t="s">
        <v>5971</v>
      </c>
      <c r="G7" s="198" t="s">
        <v>2461</v>
      </c>
      <c r="H7" s="301"/>
      <c r="I7" s="301" t="s">
        <v>2500</v>
      </c>
      <c r="J7" s="301"/>
      <c r="K7" s="198"/>
      <c r="L7" s="200" t="s">
        <v>2469</v>
      </c>
      <c r="M7" s="201" t="s">
        <v>4025</v>
      </c>
      <c r="N7" s="309" t="s">
        <v>2887</v>
      </c>
      <c r="O7" s="301"/>
      <c r="P7" s="301"/>
      <c r="Q7" s="301" t="s">
        <v>256</v>
      </c>
      <c r="R7" s="301"/>
      <c r="S7" s="301"/>
      <c r="T7" s="301" t="s">
        <v>256</v>
      </c>
      <c r="U7" s="301"/>
      <c r="V7" s="301" t="s">
        <v>256</v>
      </c>
      <c r="W7" s="301"/>
      <c r="X7" s="177" t="s">
        <v>2963</v>
      </c>
    </row>
    <row r="8" spans="1:26" ht="16.95" customHeight="1">
      <c r="A8" s="182" t="s">
        <v>1996</v>
      </c>
      <c r="B8" s="297">
        <v>0</v>
      </c>
      <c r="C8" s="297" t="s">
        <v>2443</v>
      </c>
      <c r="D8" s="297"/>
      <c r="E8" s="297" t="s">
        <v>3078</v>
      </c>
      <c r="F8" s="183" t="s">
        <v>5971</v>
      </c>
      <c r="G8" s="182" t="s">
        <v>2461</v>
      </c>
      <c r="H8" s="297" t="s">
        <v>2498</v>
      </c>
      <c r="I8" s="297" t="s">
        <v>2500</v>
      </c>
      <c r="J8" s="297"/>
      <c r="K8" s="182"/>
      <c r="L8" s="184" t="s">
        <v>2964</v>
      </c>
      <c r="M8" s="185" t="s">
        <v>4026</v>
      </c>
      <c r="N8" s="305" t="s">
        <v>2917</v>
      </c>
      <c r="O8" s="297"/>
      <c r="P8" s="297"/>
      <c r="Q8" s="297" t="s">
        <v>256</v>
      </c>
      <c r="R8" s="297"/>
      <c r="S8" s="297"/>
      <c r="T8" s="297" t="s">
        <v>256</v>
      </c>
      <c r="U8" s="297" t="s">
        <v>256</v>
      </c>
      <c r="V8" s="297" t="s">
        <v>256</v>
      </c>
      <c r="W8" s="297" t="s">
        <v>256</v>
      </c>
      <c r="X8" s="177" t="s">
        <v>2963</v>
      </c>
    </row>
    <row r="9" spans="1:26" ht="16.95" customHeight="1">
      <c r="A9" s="190" t="s">
        <v>2006</v>
      </c>
      <c r="B9" s="299">
        <v>0</v>
      </c>
      <c r="C9" s="299" t="s">
        <v>2429</v>
      </c>
      <c r="D9" s="299"/>
      <c r="E9" s="299" t="s">
        <v>256</v>
      </c>
      <c r="F9" s="191" t="s">
        <v>5971</v>
      </c>
      <c r="G9" s="190" t="s">
        <v>2435</v>
      </c>
      <c r="H9" s="299" t="s">
        <v>2498</v>
      </c>
      <c r="I9" s="299" t="s">
        <v>2500</v>
      </c>
      <c r="J9" s="299" t="s">
        <v>2960</v>
      </c>
      <c r="K9" s="190" t="s">
        <v>2965</v>
      </c>
      <c r="L9" s="192" t="s">
        <v>2964</v>
      </c>
      <c r="M9" s="193" t="s">
        <v>4027</v>
      </c>
      <c r="N9" s="307" t="s">
        <v>2912</v>
      </c>
      <c r="O9" s="299" t="s">
        <v>256</v>
      </c>
      <c r="P9" s="299"/>
      <c r="Q9" s="299"/>
      <c r="R9" s="299"/>
      <c r="S9" s="299"/>
      <c r="T9" s="299" t="s">
        <v>256</v>
      </c>
      <c r="U9" s="299"/>
      <c r="V9" s="299" t="s">
        <v>256</v>
      </c>
      <c r="W9" s="299" t="s">
        <v>256</v>
      </c>
      <c r="X9" s="177" t="s">
        <v>2959</v>
      </c>
    </row>
    <row r="10" spans="1:26" ht="16.95" customHeight="1">
      <c r="A10" s="198" t="s">
        <v>2072</v>
      </c>
      <c r="B10" s="301">
        <v>0</v>
      </c>
      <c r="C10" s="301" t="s">
        <v>2425</v>
      </c>
      <c r="D10" s="301"/>
      <c r="E10" s="301"/>
      <c r="F10" s="199" t="s">
        <v>5971</v>
      </c>
      <c r="G10" s="198" t="s">
        <v>2452</v>
      </c>
      <c r="H10" s="301" t="s">
        <v>2498</v>
      </c>
      <c r="I10" s="301" t="s">
        <v>2500</v>
      </c>
      <c r="J10" s="301"/>
      <c r="K10" s="198"/>
      <c r="L10" s="200" t="s">
        <v>2465</v>
      </c>
      <c r="M10" s="201" t="s">
        <v>4028</v>
      </c>
      <c r="N10" s="309" t="s">
        <v>2893</v>
      </c>
      <c r="O10" s="301"/>
      <c r="P10" s="301"/>
      <c r="Q10" s="301" t="s">
        <v>256</v>
      </c>
      <c r="R10" s="301"/>
      <c r="S10" s="301"/>
      <c r="T10" s="301"/>
      <c r="U10" s="301"/>
      <c r="V10" s="301"/>
      <c r="W10" s="301"/>
      <c r="X10" s="177" t="s">
        <v>2959</v>
      </c>
    </row>
    <row r="11" spans="1:26" ht="16.95" customHeight="1">
      <c r="A11" s="190" t="s">
        <v>2019</v>
      </c>
      <c r="B11" s="299">
        <v>0</v>
      </c>
      <c r="C11" s="299" t="s">
        <v>2429</v>
      </c>
      <c r="D11" s="299"/>
      <c r="E11" s="299"/>
      <c r="F11" s="191" t="s">
        <v>5971</v>
      </c>
      <c r="G11" s="190" t="s">
        <v>2435</v>
      </c>
      <c r="H11" s="299" t="s">
        <v>2498</v>
      </c>
      <c r="I11" s="299" t="s">
        <v>2500</v>
      </c>
      <c r="J11" s="299"/>
      <c r="K11" s="190"/>
      <c r="L11" s="192" t="s">
        <v>2465</v>
      </c>
      <c r="M11" s="193" t="s">
        <v>4029</v>
      </c>
      <c r="N11" s="307" t="s">
        <v>2909</v>
      </c>
      <c r="O11" s="299"/>
      <c r="P11" s="299"/>
      <c r="Q11" s="299"/>
      <c r="R11" s="299"/>
      <c r="S11" s="299"/>
      <c r="T11" s="299"/>
      <c r="U11" s="299" t="s">
        <v>256</v>
      </c>
      <c r="V11" s="299"/>
      <c r="W11" s="299"/>
      <c r="X11" s="177" t="s">
        <v>2959</v>
      </c>
    </row>
    <row r="12" spans="1:26" ht="16.95" customHeight="1">
      <c r="A12" s="190" t="s">
        <v>2023</v>
      </c>
      <c r="B12" s="299">
        <v>0</v>
      </c>
      <c r="C12" s="299" t="s">
        <v>2429</v>
      </c>
      <c r="D12" s="299"/>
      <c r="E12" s="299"/>
      <c r="F12" s="191" t="s">
        <v>5971</v>
      </c>
      <c r="G12" s="190" t="s">
        <v>2435</v>
      </c>
      <c r="H12" s="299" t="s">
        <v>2498</v>
      </c>
      <c r="I12" s="299" t="s">
        <v>2500</v>
      </c>
      <c r="J12" s="299"/>
      <c r="K12" s="190"/>
      <c r="L12" s="192" t="s">
        <v>2465</v>
      </c>
      <c r="M12" s="193" t="s">
        <v>4030</v>
      </c>
      <c r="N12" s="307" t="s">
        <v>2966</v>
      </c>
      <c r="O12" s="299"/>
      <c r="P12" s="299"/>
      <c r="Q12" s="299"/>
      <c r="R12" s="299"/>
      <c r="S12" s="299"/>
      <c r="T12" s="299" t="s">
        <v>256</v>
      </c>
      <c r="U12" s="299"/>
      <c r="V12" s="299" t="s">
        <v>256</v>
      </c>
      <c r="W12" s="299" t="s">
        <v>256</v>
      </c>
      <c r="X12" s="177" t="s">
        <v>2959</v>
      </c>
    </row>
    <row r="13" spans="1:26" ht="16.95" customHeight="1">
      <c r="A13" s="202" t="s">
        <v>2020</v>
      </c>
      <c r="B13" s="302">
        <v>0</v>
      </c>
      <c r="C13" s="302" t="s">
        <v>2967</v>
      </c>
      <c r="D13" s="302"/>
      <c r="E13" s="302" t="s">
        <v>4531</v>
      </c>
      <c r="F13" s="203" t="s">
        <v>5971</v>
      </c>
      <c r="G13" s="202" t="s">
        <v>2475</v>
      </c>
      <c r="H13" s="302"/>
      <c r="I13" s="302" t="s">
        <v>2500</v>
      </c>
      <c r="J13" s="302" t="s">
        <v>2960</v>
      </c>
      <c r="K13" s="202" t="s">
        <v>2968</v>
      </c>
      <c r="L13" s="204" t="s">
        <v>2964</v>
      </c>
      <c r="M13" s="205" t="s">
        <v>4031</v>
      </c>
      <c r="N13" s="310" t="s">
        <v>2898</v>
      </c>
      <c r="O13" s="302" t="s">
        <v>256</v>
      </c>
      <c r="P13" s="302"/>
      <c r="Q13" s="302"/>
      <c r="R13" s="302"/>
      <c r="S13" s="302"/>
      <c r="T13" s="302" t="s">
        <v>256</v>
      </c>
      <c r="U13" s="302" t="s">
        <v>256</v>
      </c>
      <c r="V13" s="302" t="s">
        <v>256</v>
      </c>
      <c r="W13" s="302"/>
      <c r="X13" s="177" t="s">
        <v>2959</v>
      </c>
    </row>
    <row r="14" spans="1:26" ht="16.95" customHeight="1">
      <c r="A14" s="190" t="s">
        <v>2025</v>
      </c>
      <c r="B14" s="299">
        <v>0</v>
      </c>
      <c r="C14" s="299" t="s">
        <v>2429</v>
      </c>
      <c r="D14" s="299"/>
      <c r="E14" s="299"/>
      <c r="F14" s="191" t="s">
        <v>5971</v>
      </c>
      <c r="G14" s="190" t="s">
        <v>2461</v>
      </c>
      <c r="H14" s="299" t="s">
        <v>2498</v>
      </c>
      <c r="I14" s="299" t="s">
        <v>2500</v>
      </c>
      <c r="J14" s="299"/>
      <c r="K14" s="190"/>
      <c r="L14" s="192" t="s">
        <v>2465</v>
      </c>
      <c r="M14" s="193" t="s">
        <v>4032</v>
      </c>
      <c r="N14" s="307" t="s">
        <v>2906</v>
      </c>
      <c r="O14" s="299"/>
      <c r="P14" s="299"/>
      <c r="Q14" s="299" t="s">
        <v>256</v>
      </c>
      <c r="R14" s="299"/>
      <c r="S14" s="299"/>
      <c r="T14" s="299" t="s">
        <v>256</v>
      </c>
      <c r="U14" s="299" t="s">
        <v>256</v>
      </c>
      <c r="V14" s="299" t="s">
        <v>256</v>
      </c>
      <c r="W14" s="299" t="s">
        <v>256</v>
      </c>
      <c r="X14" s="177" t="s">
        <v>2963</v>
      </c>
    </row>
    <row r="15" spans="1:26" ht="16.95" customHeight="1">
      <c r="A15" s="190" t="s">
        <v>2035</v>
      </c>
      <c r="B15" s="299">
        <v>0</v>
      </c>
      <c r="C15" s="299" t="s">
        <v>2429</v>
      </c>
      <c r="D15" s="299"/>
      <c r="E15" s="299"/>
      <c r="F15" s="191" t="s">
        <v>5971</v>
      </c>
      <c r="G15" s="190" t="s">
        <v>2491</v>
      </c>
      <c r="H15" s="299"/>
      <c r="I15" s="299" t="s">
        <v>2500</v>
      </c>
      <c r="J15" s="299" t="s">
        <v>2960</v>
      </c>
      <c r="K15" s="190" t="s">
        <v>2961</v>
      </c>
      <c r="L15" s="192" t="s">
        <v>2465</v>
      </c>
      <c r="M15" s="193" t="s">
        <v>4033</v>
      </c>
      <c r="N15" s="307" t="s">
        <v>2969</v>
      </c>
      <c r="O15" s="299"/>
      <c r="P15" s="299"/>
      <c r="Q15" s="299"/>
      <c r="R15" s="299"/>
      <c r="S15" s="299"/>
      <c r="T15" s="299" t="s">
        <v>256</v>
      </c>
      <c r="U15" s="299" t="s">
        <v>256</v>
      </c>
      <c r="V15" s="299" t="s">
        <v>256</v>
      </c>
      <c r="W15" s="299" t="s">
        <v>256</v>
      </c>
      <c r="X15" s="177" t="s">
        <v>2962</v>
      </c>
    </row>
    <row r="16" spans="1:26" ht="16.95" customHeight="1">
      <c r="A16" s="206" t="s">
        <v>1991</v>
      </c>
      <c r="B16" s="303">
        <v>0</v>
      </c>
      <c r="C16" s="303" t="s">
        <v>2440</v>
      </c>
      <c r="D16" s="303"/>
      <c r="E16" s="303" t="s">
        <v>4531</v>
      </c>
      <c r="F16" s="207" t="s">
        <v>5971</v>
      </c>
      <c r="G16" s="206" t="s">
        <v>2467</v>
      </c>
      <c r="H16" s="303" t="s">
        <v>2498</v>
      </c>
      <c r="I16" s="303" t="s">
        <v>2500</v>
      </c>
      <c r="J16" s="303"/>
      <c r="K16" s="206"/>
      <c r="L16" s="208" t="s">
        <v>2964</v>
      </c>
      <c r="M16" s="209" t="s">
        <v>4034</v>
      </c>
      <c r="N16" s="311" t="s">
        <v>2916</v>
      </c>
      <c r="O16" s="303"/>
      <c r="P16" s="303" t="s">
        <v>256</v>
      </c>
      <c r="Q16" s="303" t="s">
        <v>256</v>
      </c>
      <c r="R16" s="303"/>
      <c r="S16" s="303"/>
      <c r="T16" s="303"/>
      <c r="U16" s="303"/>
      <c r="V16" s="303"/>
      <c r="W16" s="303" t="s">
        <v>256</v>
      </c>
      <c r="X16" s="177" t="s">
        <v>2959</v>
      </c>
    </row>
    <row r="17" spans="1:24" ht="16.95" customHeight="1">
      <c r="A17" s="198" t="s">
        <v>2051</v>
      </c>
      <c r="B17" s="301">
        <v>0</v>
      </c>
      <c r="C17" s="301" t="s">
        <v>2425</v>
      </c>
      <c r="D17" s="301"/>
      <c r="E17" s="301"/>
      <c r="F17" s="199" t="s">
        <v>5971</v>
      </c>
      <c r="G17" s="198" t="s">
        <v>2452</v>
      </c>
      <c r="H17" s="301" t="s">
        <v>2498</v>
      </c>
      <c r="I17" s="301" t="s">
        <v>2500</v>
      </c>
      <c r="J17" s="301"/>
      <c r="K17" s="198"/>
      <c r="L17" s="200" t="s">
        <v>2465</v>
      </c>
      <c r="M17" s="201" t="s">
        <v>4035</v>
      </c>
      <c r="N17" s="309" t="s">
        <v>2884</v>
      </c>
      <c r="O17" s="301"/>
      <c r="P17" s="301"/>
      <c r="Q17" s="301" t="s">
        <v>256</v>
      </c>
      <c r="R17" s="301"/>
      <c r="S17" s="301"/>
      <c r="T17" s="301" t="s">
        <v>256</v>
      </c>
      <c r="U17" s="301"/>
      <c r="V17" s="301" t="s">
        <v>256</v>
      </c>
      <c r="W17" s="301"/>
      <c r="X17" s="177" t="s">
        <v>2963</v>
      </c>
    </row>
    <row r="18" spans="1:24" ht="16.95" customHeight="1">
      <c r="A18" s="182" t="s">
        <v>2001</v>
      </c>
      <c r="B18" s="297">
        <v>0</v>
      </c>
      <c r="C18" s="297" t="s">
        <v>2443</v>
      </c>
      <c r="D18" s="297"/>
      <c r="E18" s="297"/>
      <c r="F18" s="183" t="s">
        <v>5971</v>
      </c>
      <c r="G18" s="182" t="s">
        <v>2452</v>
      </c>
      <c r="H18" s="297" t="s">
        <v>2498</v>
      </c>
      <c r="I18" s="297" t="s">
        <v>2500</v>
      </c>
      <c r="J18" s="297" t="s">
        <v>2960</v>
      </c>
      <c r="K18" s="182" t="s">
        <v>2970</v>
      </c>
      <c r="L18" s="184" t="s">
        <v>2465</v>
      </c>
      <c r="M18" s="185" t="s">
        <v>4036</v>
      </c>
      <c r="N18" s="305" t="s">
        <v>2918</v>
      </c>
      <c r="O18" s="297"/>
      <c r="P18" s="297"/>
      <c r="Q18" s="297" t="s">
        <v>256</v>
      </c>
      <c r="R18" s="297"/>
      <c r="S18" s="297"/>
      <c r="T18" s="297" t="s">
        <v>256</v>
      </c>
      <c r="U18" s="297" t="s">
        <v>256</v>
      </c>
      <c r="V18" s="297" t="s">
        <v>256</v>
      </c>
      <c r="W18" s="297"/>
      <c r="X18" s="177" t="s">
        <v>2963</v>
      </c>
    </row>
    <row r="19" spans="1:24" ht="16.95" customHeight="1">
      <c r="A19" s="190" t="s">
        <v>1995</v>
      </c>
      <c r="B19" s="299">
        <v>0</v>
      </c>
      <c r="C19" s="299" t="s">
        <v>2429</v>
      </c>
      <c r="D19" s="299"/>
      <c r="E19" s="299"/>
      <c r="F19" s="191" t="s">
        <v>5971</v>
      </c>
      <c r="G19" s="190" t="s">
        <v>2467</v>
      </c>
      <c r="H19" s="299" t="s">
        <v>2498</v>
      </c>
      <c r="I19" s="299"/>
      <c r="J19" s="299" t="s">
        <v>2960</v>
      </c>
      <c r="K19" s="190" t="s">
        <v>2971</v>
      </c>
      <c r="L19" s="192" t="s">
        <v>2434</v>
      </c>
      <c r="M19" s="193" t="s">
        <v>4037</v>
      </c>
      <c r="N19" s="307" t="s">
        <v>2913</v>
      </c>
      <c r="O19" s="299" t="s">
        <v>256</v>
      </c>
      <c r="P19" s="299" t="s">
        <v>256</v>
      </c>
      <c r="Q19" s="299"/>
      <c r="R19" s="299"/>
      <c r="S19" s="299"/>
      <c r="T19" s="299" t="s">
        <v>256</v>
      </c>
      <c r="U19" s="299"/>
      <c r="V19" s="299" t="s">
        <v>256</v>
      </c>
      <c r="W19" s="299" t="s">
        <v>256</v>
      </c>
      <c r="X19" s="177" t="s">
        <v>2959</v>
      </c>
    </row>
    <row r="20" spans="1:24" ht="16.95" customHeight="1">
      <c r="A20" s="190" t="s">
        <v>2040</v>
      </c>
      <c r="B20" s="299">
        <v>0</v>
      </c>
      <c r="C20" s="299" t="s">
        <v>2429</v>
      </c>
      <c r="D20" s="299"/>
      <c r="E20" s="299"/>
      <c r="F20" s="191" t="s">
        <v>5971</v>
      </c>
      <c r="G20" s="190" t="s">
        <v>2441</v>
      </c>
      <c r="H20" s="299" t="s">
        <v>2498</v>
      </c>
      <c r="I20" s="299"/>
      <c r="J20" s="299"/>
      <c r="K20" s="190"/>
      <c r="L20" s="192" t="s">
        <v>2465</v>
      </c>
      <c r="M20" s="193" t="s">
        <v>4038</v>
      </c>
      <c r="N20" s="307" t="s">
        <v>2908</v>
      </c>
      <c r="O20" s="299"/>
      <c r="P20" s="299"/>
      <c r="Q20" s="299"/>
      <c r="R20" s="299"/>
      <c r="S20" s="299"/>
      <c r="T20" s="299" t="s">
        <v>256</v>
      </c>
      <c r="U20" s="299" t="s">
        <v>256</v>
      </c>
      <c r="V20" s="299" t="s">
        <v>256</v>
      </c>
      <c r="W20" s="299" t="s">
        <v>256</v>
      </c>
      <c r="X20" s="177" t="s">
        <v>2962</v>
      </c>
    </row>
    <row r="21" spans="1:24" ht="16.95" customHeight="1">
      <c r="A21" s="182" t="s">
        <v>1992</v>
      </c>
      <c r="B21" s="297">
        <v>0</v>
      </c>
      <c r="C21" s="297" t="s">
        <v>2443</v>
      </c>
      <c r="D21" s="297"/>
      <c r="E21" s="297"/>
      <c r="F21" s="183" t="s">
        <v>5971</v>
      </c>
      <c r="G21" s="182" t="s">
        <v>2452</v>
      </c>
      <c r="H21" s="297" t="s">
        <v>2498</v>
      </c>
      <c r="I21" s="297" t="s">
        <v>2500</v>
      </c>
      <c r="J21" s="297"/>
      <c r="K21" s="182"/>
      <c r="L21" s="184" t="s">
        <v>2438</v>
      </c>
      <c r="M21" s="185" t="s">
        <v>4039</v>
      </c>
      <c r="N21" s="305" t="s">
        <v>2921</v>
      </c>
      <c r="O21" s="297" t="s">
        <v>256</v>
      </c>
      <c r="P21" s="297"/>
      <c r="Q21" s="297"/>
      <c r="R21" s="297"/>
      <c r="S21" s="297"/>
      <c r="T21" s="297" t="s">
        <v>256</v>
      </c>
      <c r="U21" s="297" t="s">
        <v>256</v>
      </c>
      <c r="V21" s="297" t="s">
        <v>256</v>
      </c>
      <c r="W21" s="297" t="s">
        <v>256</v>
      </c>
      <c r="X21" s="177" t="s">
        <v>2959</v>
      </c>
    </row>
    <row r="22" spans="1:24" ht="16.95" customHeight="1">
      <c r="A22" s="198" t="s">
        <v>2047</v>
      </c>
      <c r="B22" s="301">
        <v>0</v>
      </c>
      <c r="C22" s="301" t="s">
        <v>2425</v>
      </c>
      <c r="D22" s="301"/>
      <c r="E22" s="301"/>
      <c r="F22" s="199" t="s">
        <v>6007</v>
      </c>
      <c r="G22" s="198" t="s">
        <v>2467</v>
      </c>
      <c r="H22" s="301" t="s">
        <v>2498</v>
      </c>
      <c r="I22" s="301" t="s">
        <v>2500</v>
      </c>
      <c r="J22" s="301"/>
      <c r="K22" s="198"/>
      <c r="L22" s="200" t="s">
        <v>2438</v>
      </c>
      <c r="M22" s="201" t="s">
        <v>4040</v>
      </c>
      <c r="N22" s="309" t="s">
        <v>2883</v>
      </c>
      <c r="O22" s="301"/>
      <c r="P22" s="301"/>
      <c r="Q22" s="301" t="s">
        <v>256</v>
      </c>
      <c r="R22" s="301"/>
      <c r="S22" s="301"/>
      <c r="T22" s="301"/>
      <c r="U22" s="301" t="s">
        <v>256</v>
      </c>
      <c r="V22" s="301"/>
      <c r="W22" s="301" t="s">
        <v>256</v>
      </c>
      <c r="X22" s="177" t="s">
        <v>2963</v>
      </c>
    </row>
    <row r="23" spans="1:24" ht="16.95" customHeight="1">
      <c r="A23" s="198" t="s">
        <v>2018</v>
      </c>
      <c r="B23" s="301">
        <v>0</v>
      </c>
      <c r="C23" s="301" t="s">
        <v>2425</v>
      </c>
      <c r="D23" s="301"/>
      <c r="E23" s="301"/>
      <c r="F23" s="199" t="s">
        <v>2438</v>
      </c>
      <c r="G23" s="198" t="s">
        <v>2467</v>
      </c>
      <c r="H23" s="301" t="s">
        <v>2498</v>
      </c>
      <c r="I23" s="301" t="s">
        <v>2500</v>
      </c>
      <c r="J23" s="301" t="s">
        <v>2960</v>
      </c>
      <c r="K23" s="198" t="s">
        <v>2972</v>
      </c>
      <c r="L23" s="200" t="s">
        <v>2465</v>
      </c>
      <c r="M23" s="201" t="s">
        <v>4041</v>
      </c>
      <c r="N23" s="309" t="s">
        <v>2891</v>
      </c>
      <c r="O23" s="301" t="s">
        <v>256</v>
      </c>
      <c r="P23" s="301" t="s">
        <v>256</v>
      </c>
      <c r="Q23" s="301" t="s">
        <v>256</v>
      </c>
      <c r="R23" s="301"/>
      <c r="S23" s="301"/>
      <c r="T23" s="301" t="s">
        <v>256</v>
      </c>
      <c r="U23" s="301"/>
      <c r="V23" s="301" t="s">
        <v>256</v>
      </c>
      <c r="W23" s="301" t="s">
        <v>256</v>
      </c>
      <c r="X23" s="177" t="s">
        <v>2959</v>
      </c>
    </row>
    <row r="24" spans="1:24" ht="16.95" customHeight="1">
      <c r="A24" s="198" t="s">
        <v>2041</v>
      </c>
      <c r="B24" s="301">
        <v>0</v>
      </c>
      <c r="C24" s="301" t="s">
        <v>2425</v>
      </c>
      <c r="D24" s="301"/>
      <c r="E24" s="301"/>
      <c r="F24" s="199" t="s">
        <v>5971</v>
      </c>
      <c r="G24" s="198" t="s">
        <v>2435</v>
      </c>
      <c r="H24" s="301" t="s">
        <v>2498</v>
      </c>
      <c r="I24" s="301" t="s">
        <v>2500</v>
      </c>
      <c r="J24" s="301" t="s">
        <v>2960</v>
      </c>
      <c r="K24" s="198" t="s">
        <v>2973</v>
      </c>
      <c r="L24" s="200" t="s">
        <v>2442</v>
      </c>
      <c r="M24" s="201" t="s">
        <v>4042</v>
      </c>
      <c r="N24" s="309" t="s">
        <v>2890</v>
      </c>
      <c r="O24" s="301" t="s">
        <v>256</v>
      </c>
      <c r="P24" s="301"/>
      <c r="Q24" s="301"/>
      <c r="R24" s="301"/>
      <c r="S24" s="301"/>
      <c r="T24" s="301" t="s">
        <v>256</v>
      </c>
      <c r="U24" s="301"/>
      <c r="V24" s="301" t="s">
        <v>256</v>
      </c>
      <c r="W24" s="301" t="s">
        <v>256</v>
      </c>
      <c r="X24" s="177" t="s">
        <v>2959</v>
      </c>
    </row>
    <row r="25" spans="1:24" ht="16.95" customHeight="1">
      <c r="A25" s="202" t="s">
        <v>2925</v>
      </c>
      <c r="B25" s="302">
        <v>0</v>
      </c>
      <c r="C25" s="302" t="s">
        <v>2967</v>
      </c>
      <c r="D25" s="302"/>
      <c r="E25" s="302"/>
      <c r="F25" s="203" t="s">
        <v>5971</v>
      </c>
      <c r="G25" s="202" t="s">
        <v>2461</v>
      </c>
      <c r="H25" s="302" t="s">
        <v>2498</v>
      </c>
      <c r="I25" s="302"/>
      <c r="J25" s="302"/>
      <c r="K25" s="202"/>
      <c r="L25" s="204" t="s">
        <v>2442</v>
      </c>
      <c r="M25" s="205" t="s">
        <v>4043</v>
      </c>
      <c r="N25" s="310" t="s">
        <v>2924</v>
      </c>
      <c r="O25" s="302"/>
      <c r="P25" s="302"/>
      <c r="Q25" s="302"/>
      <c r="R25" s="302"/>
      <c r="S25" s="302"/>
      <c r="T25" s="302" t="s">
        <v>256</v>
      </c>
      <c r="U25" s="302" t="s">
        <v>256</v>
      </c>
      <c r="V25" s="302" t="s">
        <v>256</v>
      </c>
      <c r="W25" s="302"/>
      <c r="X25" s="177" t="s">
        <v>2974</v>
      </c>
    </row>
    <row r="26" spans="1:24" ht="16.95" customHeight="1">
      <c r="A26" s="210" t="s">
        <v>2016</v>
      </c>
      <c r="B26" s="304">
        <v>0</v>
      </c>
      <c r="C26" s="304" t="s">
        <v>2450</v>
      </c>
      <c r="D26" s="304"/>
      <c r="E26" s="304"/>
      <c r="F26" s="211" t="s">
        <v>5971</v>
      </c>
      <c r="G26" s="210" t="s">
        <v>2452</v>
      </c>
      <c r="H26" s="304"/>
      <c r="I26" s="304" t="s">
        <v>2500</v>
      </c>
      <c r="J26" s="304" t="s">
        <v>2960</v>
      </c>
      <c r="K26" s="210" t="s">
        <v>2975</v>
      </c>
      <c r="L26" s="212" t="s">
        <v>2438</v>
      </c>
      <c r="M26" s="213" t="s">
        <v>4044</v>
      </c>
      <c r="N26" s="312" t="s">
        <v>2900</v>
      </c>
      <c r="O26" s="304" t="s">
        <v>256</v>
      </c>
      <c r="P26" s="304"/>
      <c r="Q26" s="304"/>
      <c r="R26" s="304"/>
      <c r="S26" s="304"/>
      <c r="T26" s="304" t="s">
        <v>256</v>
      </c>
      <c r="U26" s="304" t="s">
        <v>256</v>
      </c>
      <c r="V26" s="304" t="s">
        <v>256</v>
      </c>
      <c r="W26" s="304"/>
      <c r="X26" s="177" t="s">
        <v>2959</v>
      </c>
    </row>
    <row r="27" spans="1:24" ht="16.95" customHeight="1">
      <c r="A27" s="198" t="s">
        <v>2057</v>
      </c>
      <c r="B27" s="301">
        <v>0</v>
      </c>
      <c r="C27" s="301" t="s">
        <v>2425</v>
      </c>
      <c r="D27" s="301"/>
      <c r="E27" s="301"/>
      <c r="F27" s="199" t="s">
        <v>5971</v>
      </c>
      <c r="G27" s="198" t="s">
        <v>2452</v>
      </c>
      <c r="H27" s="301"/>
      <c r="I27" s="301" t="s">
        <v>2500</v>
      </c>
      <c r="J27" s="301"/>
      <c r="K27" s="198"/>
      <c r="L27" s="200" t="s">
        <v>2469</v>
      </c>
      <c r="M27" s="201" t="s">
        <v>4045</v>
      </c>
      <c r="N27" s="309" t="s">
        <v>2885</v>
      </c>
      <c r="O27" s="301"/>
      <c r="P27" s="301"/>
      <c r="Q27" s="301" t="s">
        <v>256</v>
      </c>
      <c r="R27" s="301"/>
      <c r="S27" s="301"/>
      <c r="T27" s="301" t="s">
        <v>256</v>
      </c>
      <c r="U27" s="301"/>
      <c r="V27" s="301" t="s">
        <v>256</v>
      </c>
      <c r="W27" s="301"/>
      <c r="X27" s="177" t="s">
        <v>2963</v>
      </c>
    </row>
    <row r="28" spans="1:24" ht="16.95" customHeight="1">
      <c r="A28" s="182" t="s">
        <v>2010</v>
      </c>
      <c r="B28" s="297">
        <v>0</v>
      </c>
      <c r="C28" s="297" t="s">
        <v>2443</v>
      </c>
      <c r="D28" s="297"/>
      <c r="E28" s="297"/>
      <c r="F28" s="183" t="s">
        <v>5971</v>
      </c>
      <c r="G28" s="182" t="s">
        <v>2431</v>
      </c>
      <c r="H28" s="297" t="s">
        <v>2498</v>
      </c>
      <c r="I28" s="297" t="s">
        <v>2500</v>
      </c>
      <c r="J28" s="297"/>
      <c r="K28" s="182"/>
      <c r="L28" s="184" t="s">
        <v>2465</v>
      </c>
      <c r="M28" s="185" t="s">
        <v>4046</v>
      </c>
      <c r="N28" s="305" t="s">
        <v>2923</v>
      </c>
      <c r="O28" s="297"/>
      <c r="P28" s="297"/>
      <c r="Q28" s="297" t="s">
        <v>256</v>
      </c>
      <c r="R28" s="297"/>
      <c r="S28" s="297"/>
      <c r="T28" s="297" t="s">
        <v>256</v>
      </c>
      <c r="U28" s="297" t="s">
        <v>256</v>
      </c>
      <c r="V28" s="297" t="s">
        <v>256</v>
      </c>
      <c r="W28" s="297" t="s">
        <v>256</v>
      </c>
      <c r="X28" s="177" t="s">
        <v>2959</v>
      </c>
    </row>
    <row r="29" spans="1:24" ht="16.95" customHeight="1">
      <c r="A29" s="198" t="s">
        <v>2036</v>
      </c>
      <c r="B29" s="301">
        <v>0</v>
      </c>
      <c r="C29" s="301" t="s">
        <v>2425</v>
      </c>
      <c r="D29" s="301"/>
      <c r="E29" s="301"/>
      <c r="F29" s="199" t="s">
        <v>5971</v>
      </c>
      <c r="G29" s="198" t="s">
        <v>2431</v>
      </c>
      <c r="H29" s="301" t="s">
        <v>2498</v>
      </c>
      <c r="I29" s="301" t="s">
        <v>2500</v>
      </c>
      <c r="J29" s="301"/>
      <c r="K29" s="198"/>
      <c r="L29" s="200" t="s">
        <v>2480</v>
      </c>
      <c r="M29" s="201" t="s">
        <v>4047</v>
      </c>
      <c r="N29" s="309" t="s">
        <v>2889</v>
      </c>
      <c r="O29" s="301" t="s">
        <v>256</v>
      </c>
      <c r="P29" s="301"/>
      <c r="Q29" s="301"/>
      <c r="R29" s="301"/>
      <c r="S29" s="301"/>
      <c r="T29" s="301" t="s">
        <v>256</v>
      </c>
      <c r="U29" s="301" t="s">
        <v>256</v>
      </c>
      <c r="V29" s="301" t="s">
        <v>256</v>
      </c>
      <c r="W29" s="301" t="s">
        <v>256</v>
      </c>
      <c r="X29" s="177" t="s">
        <v>2959</v>
      </c>
    </row>
    <row r="30" spans="1:24" ht="16.95" customHeight="1">
      <c r="A30" s="198" t="s">
        <v>2075</v>
      </c>
      <c r="B30" s="301">
        <v>0</v>
      </c>
      <c r="C30" s="301" t="s">
        <v>2425</v>
      </c>
      <c r="D30" s="301"/>
      <c r="E30" s="301"/>
      <c r="F30" s="199" t="s">
        <v>5971</v>
      </c>
      <c r="G30" s="198" t="s">
        <v>2475</v>
      </c>
      <c r="H30" s="301"/>
      <c r="I30" s="301" t="s">
        <v>2500</v>
      </c>
      <c r="J30" s="301"/>
      <c r="K30" s="198"/>
      <c r="L30" s="200" t="s">
        <v>2465</v>
      </c>
      <c r="M30" s="201" t="s">
        <v>4048</v>
      </c>
      <c r="N30" s="309" t="s">
        <v>2888</v>
      </c>
      <c r="O30" s="301"/>
      <c r="P30" s="301"/>
      <c r="Q30" s="301" t="s">
        <v>256</v>
      </c>
      <c r="R30" s="301"/>
      <c r="S30" s="301"/>
      <c r="T30" s="301"/>
      <c r="U30" s="301"/>
      <c r="V30" s="301"/>
      <c r="W30" s="301"/>
      <c r="X30" s="177" t="s">
        <v>2963</v>
      </c>
    </row>
    <row r="31" spans="1:24" ht="16.95" customHeight="1">
      <c r="A31" s="182" t="s">
        <v>2005</v>
      </c>
      <c r="B31" s="297">
        <v>0</v>
      </c>
      <c r="C31" s="297" t="s">
        <v>2443</v>
      </c>
      <c r="D31" s="297"/>
      <c r="E31" s="297"/>
      <c r="F31" s="183" t="s">
        <v>5971</v>
      </c>
      <c r="G31" s="182" t="s">
        <v>2475</v>
      </c>
      <c r="H31" s="297" t="s">
        <v>2498</v>
      </c>
      <c r="I31" s="297" t="s">
        <v>2500</v>
      </c>
      <c r="J31" s="297"/>
      <c r="K31" s="182"/>
      <c r="L31" s="184" t="s">
        <v>2428</v>
      </c>
      <c r="M31" s="185" t="s">
        <v>4049</v>
      </c>
      <c r="N31" s="305" t="s">
        <v>2922</v>
      </c>
      <c r="O31" s="297"/>
      <c r="P31" s="297"/>
      <c r="Q31" s="297" t="s">
        <v>256</v>
      </c>
      <c r="R31" s="297"/>
      <c r="S31" s="297"/>
      <c r="T31" s="297"/>
      <c r="U31" s="297"/>
      <c r="V31" s="297"/>
      <c r="W31" s="297"/>
      <c r="X31" s="177" t="s">
        <v>2959</v>
      </c>
    </row>
    <row r="32" spans="1:24" ht="16.95" customHeight="1">
      <c r="A32" s="190" t="s">
        <v>2029</v>
      </c>
      <c r="B32" s="299">
        <v>0</v>
      </c>
      <c r="C32" s="299" t="s">
        <v>2429</v>
      </c>
      <c r="D32" s="299"/>
      <c r="E32" s="299"/>
      <c r="F32" s="191" t="s">
        <v>5971</v>
      </c>
      <c r="G32" s="190" t="s">
        <v>2461</v>
      </c>
      <c r="H32" s="299" t="s">
        <v>2498</v>
      </c>
      <c r="I32" s="299" t="s">
        <v>2500</v>
      </c>
      <c r="J32" s="299"/>
      <c r="K32" s="190"/>
      <c r="L32" s="192" t="s">
        <v>2465</v>
      </c>
      <c r="M32" s="193" t="s">
        <v>4050</v>
      </c>
      <c r="N32" s="307" t="s">
        <v>2910</v>
      </c>
      <c r="O32" s="299"/>
      <c r="P32" s="299"/>
      <c r="Q32" s="299"/>
      <c r="R32" s="299"/>
      <c r="S32" s="299"/>
      <c r="T32" s="299" t="s">
        <v>256</v>
      </c>
      <c r="U32" s="299"/>
      <c r="V32" s="299" t="s">
        <v>256</v>
      </c>
      <c r="W32" s="299" t="s">
        <v>256</v>
      </c>
      <c r="X32" s="177" t="s">
        <v>2959</v>
      </c>
    </row>
    <row r="33" spans="1:24" ht="16.95" customHeight="1">
      <c r="A33" s="186" t="s">
        <v>2015</v>
      </c>
      <c r="B33" s="298">
        <v>0</v>
      </c>
      <c r="C33" s="298" t="s">
        <v>2433</v>
      </c>
      <c r="D33" s="298"/>
      <c r="E33" s="298" t="s">
        <v>4531</v>
      </c>
      <c r="F33" s="187" t="s">
        <v>5971</v>
      </c>
      <c r="G33" s="186" t="s">
        <v>2467</v>
      </c>
      <c r="H33" s="298" t="s">
        <v>2498</v>
      </c>
      <c r="I33" s="298" t="s">
        <v>2500</v>
      </c>
      <c r="J33" s="298" t="s">
        <v>2960</v>
      </c>
      <c r="K33" s="186" t="s">
        <v>2976</v>
      </c>
      <c r="L33" s="188" t="s">
        <v>2964</v>
      </c>
      <c r="M33" s="189" t="s">
        <v>4051</v>
      </c>
      <c r="N33" s="306" t="s">
        <v>2897</v>
      </c>
      <c r="O33" s="298"/>
      <c r="P33" s="298" t="s">
        <v>256</v>
      </c>
      <c r="Q33" s="298" t="s">
        <v>256</v>
      </c>
      <c r="R33" s="298"/>
      <c r="S33" s="298"/>
      <c r="T33" s="298"/>
      <c r="U33" s="298"/>
      <c r="V33" s="298"/>
      <c r="W33" s="298" t="s">
        <v>256</v>
      </c>
      <c r="X33" s="177" t="s">
        <v>2959</v>
      </c>
    </row>
    <row r="34" spans="1:24" ht="16.95" customHeight="1">
      <c r="A34" s="190" t="s">
        <v>2000</v>
      </c>
      <c r="B34" s="299">
        <v>0</v>
      </c>
      <c r="C34" s="299" t="s">
        <v>2429</v>
      </c>
      <c r="D34" s="299"/>
      <c r="E34" s="299"/>
      <c r="F34" s="191" t="s">
        <v>5971</v>
      </c>
      <c r="G34" s="190" t="s">
        <v>2461</v>
      </c>
      <c r="H34" s="299" t="s">
        <v>2498</v>
      </c>
      <c r="I34" s="299" t="s">
        <v>2500</v>
      </c>
      <c r="J34" s="299"/>
      <c r="K34" s="190"/>
      <c r="L34" s="192" t="s">
        <v>2465</v>
      </c>
      <c r="M34" s="193" t="s">
        <v>4052</v>
      </c>
      <c r="N34" s="307" t="s">
        <v>2914</v>
      </c>
      <c r="O34" s="299"/>
      <c r="P34" s="299" t="s">
        <v>256</v>
      </c>
      <c r="Q34" s="299"/>
      <c r="R34" s="299"/>
      <c r="S34" s="299"/>
      <c r="T34" s="299"/>
      <c r="U34" s="299"/>
      <c r="V34" s="299"/>
      <c r="W34" s="299"/>
      <c r="X34" s="177" t="s">
        <v>2959</v>
      </c>
    </row>
    <row r="35" spans="1:24" ht="16.95" customHeight="1">
      <c r="A35" s="194" t="s">
        <v>2977</v>
      </c>
      <c r="B35" s="300">
        <v>0</v>
      </c>
      <c r="C35" s="300" t="s">
        <v>2437</v>
      </c>
      <c r="D35" s="300"/>
      <c r="E35" s="300"/>
      <c r="F35" s="195" t="s">
        <v>5971</v>
      </c>
      <c r="G35" s="194" t="s">
        <v>2452</v>
      </c>
      <c r="H35" s="300" t="s">
        <v>2498</v>
      </c>
      <c r="I35" s="300" t="s">
        <v>2500</v>
      </c>
      <c r="J35" s="300"/>
      <c r="K35" s="194"/>
      <c r="L35" s="196" t="s">
        <v>2465</v>
      </c>
      <c r="M35" s="197" t="s">
        <v>4053</v>
      </c>
      <c r="N35" s="308" t="s">
        <v>2978</v>
      </c>
      <c r="O35" s="300"/>
      <c r="P35" s="300"/>
      <c r="Q35" s="300"/>
      <c r="R35" s="300"/>
      <c r="S35" s="300"/>
      <c r="T35" s="300"/>
      <c r="U35" s="300"/>
      <c r="V35" s="300" t="s">
        <v>3078</v>
      </c>
      <c r="W35" s="300"/>
      <c r="X35" s="177" t="s">
        <v>2979</v>
      </c>
    </row>
    <row r="36" spans="1:24" ht="16.95" customHeight="1">
      <c r="A36" s="198" t="s">
        <v>2980</v>
      </c>
      <c r="B36" s="301">
        <v>0</v>
      </c>
      <c r="C36" s="301" t="s">
        <v>2425</v>
      </c>
      <c r="D36" s="301"/>
      <c r="E36" s="301"/>
      <c r="F36" s="199" t="s">
        <v>5971</v>
      </c>
      <c r="G36" s="198" t="s">
        <v>2452</v>
      </c>
      <c r="H36" s="301"/>
      <c r="I36" s="301" t="s">
        <v>2500</v>
      </c>
      <c r="J36" s="301"/>
      <c r="K36" s="198"/>
      <c r="L36" s="200" t="s">
        <v>2469</v>
      </c>
      <c r="M36" s="201" t="s">
        <v>4054</v>
      </c>
      <c r="N36" s="309" t="s">
        <v>2886</v>
      </c>
      <c r="O36" s="301"/>
      <c r="P36" s="301"/>
      <c r="Q36" s="301" t="s">
        <v>256</v>
      </c>
      <c r="R36" s="301"/>
      <c r="S36" s="301"/>
      <c r="T36" s="301" t="s">
        <v>256</v>
      </c>
      <c r="U36" s="301"/>
      <c r="V36" s="301" t="s">
        <v>256</v>
      </c>
      <c r="W36" s="301"/>
      <c r="X36" s="177" t="s">
        <v>2963</v>
      </c>
    </row>
    <row r="37" spans="1:24" ht="16.95" customHeight="1">
      <c r="A37" s="198" t="s">
        <v>2080</v>
      </c>
      <c r="B37" s="301">
        <v>0</v>
      </c>
      <c r="C37" s="301" t="s">
        <v>2425</v>
      </c>
      <c r="D37" s="301"/>
      <c r="E37" s="301"/>
      <c r="F37" s="199" t="s">
        <v>6007</v>
      </c>
      <c r="G37" s="198" t="s">
        <v>2467</v>
      </c>
      <c r="H37" s="301" t="s">
        <v>2498</v>
      </c>
      <c r="I37" s="301" t="s">
        <v>2500</v>
      </c>
      <c r="J37" s="301" t="s">
        <v>2960</v>
      </c>
      <c r="K37" s="198" t="s">
        <v>2981</v>
      </c>
      <c r="L37" s="200" t="s">
        <v>2438</v>
      </c>
      <c r="M37" s="201" t="s">
        <v>4055</v>
      </c>
      <c r="N37" s="309" t="s">
        <v>2894</v>
      </c>
      <c r="O37" s="301"/>
      <c r="P37" s="301"/>
      <c r="Q37" s="301" t="s">
        <v>256</v>
      </c>
      <c r="R37" s="301"/>
      <c r="S37" s="301"/>
      <c r="T37" s="301"/>
      <c r="U37" s="301"/>
      <c r="V37" s="301"/>
      <c r="W37" s="301"/>
      <c r="X37" s="177" t="s">
        <v>2959</v>
      </c>
    </row>
    <row r="38" spans="1:24" ht="16.95" customHeight="1">
      <c r="A38" s="190" t="s">
        <v>2034</v>
      </c>
      <c r="B38" s="299">
        <v>0</v>
      </c>
      <c r="C38" s="299" t="s">
        <v>2429</v>
      </c>
      <c r="D38" s="299"/>
      <c r="E38" s="299"/>
      <c r="F38" s="191" t="s">
        <v>5971</v>
      </c>
      <c r="G38" s="190" t="s">
        <v>2467</v>
      </c>
      <c r="H38" s="299" t="s">
        <v>2498</v>
      </c>
      <c r="I38" s="299" t="s">
        <v>2500</v>
      </c>
      <c r="J38" s="299"/>
      <c r="K38" s="190"/>
      <c r="L38" s="192" t="s">
        <v>2465</v>
      </c>
      <c r="M38" s="193" t="s">
        <v>4056</v>
      </c>
      <c r="N38" s="307" t="s">
        <v>2911</v>
      </c>
      <c r="O38" s="299"/>
      <c r="P38" s="299"/>
      <c r="Q38" s="299"/>
      <c r="R38" s="299"/>
      <c r="S38" s="299"/>
      <c r="T38" s="299" t="s">
        <v>256</v>
      </c>
      <c r="U38" s="299"/>
      <c r="V38" s="299" t="s">
        <v>256</v>
      </c>
      <c r="W38" s="299" t="s">
        <v>256</v>
      </c>
      <c r="X38" s="177" t="s">
        <v>2959</v>
      </c>
    </row>
    <row r="39" spans="1:24" ht="16.95" customHeight="1">
      <c r="A39" s="194" t="s">
        <v>2013</v>
      </c>
      <c r="B39" s="300">
        <v>0</v>
      </c>
      <c r="C39" s="300" t="s">
        <v>2437</v>
      </c>
      <c r="D39" s="300"/>
      <c r="E39" s="300"/>
      <c r="F39" s="195" t="s">
        <v>5971</v>
      </c>
      <c r="G39" s="194" t="s">
        <v>2467</v>
      </c>
      <c r="H39" s="300" t="s">
        <v>2498</v>
      </c>
      <c r="I39" s="300" t="s">
        <v>2500</v>
      </c>
      <c r="J39" s="300"/>
      <c r="K39" s="194"/>
      <c r="L39" s="196" t="s">
        <v>2465</v>
      </c>
      <c r="M39" s="197" t="s">
        <v>4057</v>
      </c>
      <c r="N39" s="308" t="s">
        <v>2903</v>
      </c>
      <c r="O39" s="300"/>
      <c r="P39" s="300" t="s">
        <v>256</v>
      </c>
      <c r="Q39" s="300"/>
      <c r="R39" s="300"/>
      <c r="S39" s="300"/>
      <c r="T39" s="300"/>
      <c r="U39" s="300"/>
      <c r="V39" s="300"/>
      <c r="W39" s="300" t="s">
        <v>256</v>
      </c>
      <c r="X39" s="177" t="s">
        <v>2959</v>
      </c>
    </row>
    <row r="40" spans="1:24" ht="16.95" customHeight="1">
      <c r="A40" s="182" t="s">
        <v>1997</v>
      </c>
      <c r="B40" s="297">
        <v>0</v>
      </c>
      <c r="C40" s="297" t="s">
        <v>2443</v>
      </c>
      <c r="D40" s="297"/>
      <c r="E40" s="297"/>
      <c r="F40" s="183" t="s">
        <v>5971</v>
      </c>
      <c r="G40" s="182" t="s">
        <v>2491</v>
      </c>
      <c r="H40" s="297" t="s">
        <v>2498</v>
      </c>
      <c r="I40" s="297"/>
      <c r="J40" s="297"/>
      <c r="K40" s="182"/>
      <c r="L40" s="184" t="s">
        <v>2465</v>
      </c>
      <c r="M40" s="185" t="s">
        <v>4058</v>
      </c>
      <c r="N40" s="305" t="s">
        <v>2919</v>
      </c>
      <c r="O40" s="297"/>
      <c r="P40" s="297"/>
      <c r="Q40" s="297"/>
      <c r="R40" s="297"/>
      <c r="S40" s="297"/>
      <c r="T40" s="297" t="s">
        <v>256</v>
      </c>
      <c r="U40" s="297" t="s">
        <v>256</v>
      </c>
      <c r="V40" s="297" t="s">
        <v>256</v>
      </c>
      <c r="W40" s="297" t="s">
        <v>256</v>
      </c>
      <c r="X40" s="177" t="s">
        <v>2962</v>
      </c>
    </row>
    <row r="41" spans="1:24" ht="16.95" customHeight="1">
      <c r="A41" s="198" t="s">
        <v>2024</v>
      </c>
      <c r="B41" s="301">
        <v>0</v>
      </c>
      <c r="C41" s="301" t="s">
        <v>2425</v>
      </c>
      <c r="D41" s="301"/>
      <c r="E41" s="301"/>
      <c r="F41" s="199" t="s">
        <v>5971</v>
      </c>
      <c r="G41" s="198" t="s">
        <v>2452</v>
      </c>
      <c r="H41" s="301" t="s">
        <v>2498</v>
      </c>
      <c r="I41" s="301"/>
      <c r="J41" s="301"/>
      <c r="K41" s="198"/>
      <c r="L41" s="200" t="s">
        <v>2478</v>
      </c>
      <c r="M41" s="201" t="s">
        <v>4059</v>
      </c>
      <c r="N41" s="309" t="s">
        <v>2892</v>
      </c>
      <c r="O41" s="301"/>
      <c r="P41" s="301" t="s">
        <v>256</v>
      </c>
      <c r="Q41" s="301"/>
      <c r="R41" s="301"/>
      <c r="S41" s="301"/>
      <c r="T41" s="301"/>
      <c r="U41" s="301"/>
      <c r="V41" s="301"/>
      <c r="W41" s="301"/>
      <c r="X41" s="177" t="s">
        <v>2959</v>
      </c>
    </row>
    <row r="42" spans="1:24" ht="16.95" customHeight="1">
      <c r="A42" s="198" t="s">
        <v>2084</v>
      </c>
      <c r="B42" s="301">
        <v>0</v>
      </c>
      <c r="C42" s="301" t="s">
        <v>2425</v>
      </c>
      <c r="D42" s="301"/>
      <c r="E42" s="301"/>
      <c r="F42" s="199" t="s">
        <v>5971</v>
      </c>
      <c r="G42" s="198" t="s">
        <v>2452</v>
      </c>
      <c r="H42" s="301" t="s">
        <v>2498</v>
      </c>
      <c r="I42" s="301" t="s">
        <v>2500</v>
      </c>
      <c r="J42" s="301" t="s">
        <v>2960</v>
      </c>
      <c r="K42" s="198" t="s">
        <v>2982</v>
      </c>
      <c r="L42" s="200" t="s">
        <v>2465</v>
      </c>
      <c r="M42" s="201" t="s">
        <v>4060</v>
      </c>
      <c r="N42" s="309" t="s">
        <v>2895</v>
      </c>
      <c r="O42" s="301"/>
      <c r="P42" s="301"/>
      <c r="Q42" s="301" t="s">
        <v>256</v>
      </c>
      <c r="R42" s="301"/>
      <c r="S42" s="301"/>
      <c r="T42" s="301"/>
      <c r="U42" s="301"/>
      <c r="V42" s="301"/>
      <c r="W42" s="301" t="s">
        <v>256</v>
      </c>
      <c r="X42" s="177" t="s">
        <v>2959</v>
      </c>
    </row>
    <row r="43" spans="1:24" ht="16.95" customHeight="1">
      <c r="A43" s="190" t="s">
        <v>2002</v>
      </c>
      <c r="B43" s="299">
        <v>0</v>
      </c>
      <c r="C43" s="299" t="s">
        <v>2429</v>
      </c>
      <c r="D43" s="299"/>
      <c r="E43" s="299"/>
      <c r="F43" s="191" t="s">
        <v>5971</v>
      </c>
      <c r="G43" s="190" t="s">
        <v>2458</v>
      </c>
      <c r="H43" s="299"/>
      <c r="I43" s="299" t="s">
        <v>2500</v>
      </c>
      <c r="J43" s="299"/>
      <c r="K43" s="190"/>
      <c r="L43" s="192" t="s">
        <v>2465</v>
      </c>
      <c r="M43" s="193" t="s">
        <v>4061</v>
      </c>
      <c r="N43" s="307" t="s">
        <v>2904</v>
      </c>
      <c r="O43" s="299" t="s">
        <v>256</v>
      </c>
      <c r="P43" s="299"/>
      <c r="Q43" s="299" t="s">
        <v>256</v>
      </c>
      <c r="R43" s="299"/>
      <c r="S43" s="299"/>
      <c r="T43" s="299" t="s">
        <v>256</v>
      </c>
      <c r="U43" s="299" t="s">
        <v>256</v>
      </c>
      <c r="V43" s="299" t="s">
        <v>256</v>
      </c>
      <c r="W43" s="299" t="s">
        <v>256</v>
      </c>
      <c r="X43" s="177" t="s">
        <v>2963</v>
      </c>
    </row>
    <row r="44" spans="1:24" ht="16.95" customHeight="1">
      <c r="A44" s="194" t="s">
        <v>2009</v>
      </c>
      <c r="B44" s="300">
        <v>0</v>
      </c>
      <c r="C44" s="300" t="s">
        <v>2437</v>
      </c>
      <c r="D44" s="300"/>
      <c r="E44" s="300"/>
      <c r="F44" s="195" t="s">
        <v>5971</v>
      </c>
      <c r="G44" s="194" t="s">
        <v>2461</v>
      </c>
      <c r="H44" s="300" t="s">
        <v>2498</v>
      </c>
      <c r="I44" s="300" t="s">
        <v>2500</v>
      </c>
      <c r="J44" s="300"/>
      <c r="K44" s="194"/>
      <c r="L44" s="196" t="s">
        <v>2465</v>
      </c>
      <c r="M44" s="197" t="s">
        <v>4062</v>
      </c>
      <c r="N44" s="308" t="s">
        <v>2901</v>
      </c>
      <c r="O44" s="300"/>
      <c r="P44" s="300" t="s">
        <v>256</v>
      </c>
      <c r="Q44" s="300"/>
      <c r="R44" s="300"/>
      <c r="S44" s="300"/>
      <c r="T44" s="300"/>
      <c r="U44" s="300" t="s">
        <v>256</v>
      </c>
      <c r="V44" s="300" t="s">
        <v>256</v>
      </c>
      <c r="W44" s="300"/>
      <c r="X44" s="177" t="s">
        <v>2963</v>
      </c>
    </row>
    <row r="45" spans="1:24" ht="16.95" customHeight="1">
      <c r="A45" s="206" t="s">
        <v>2983</v>
      </c>
      <c r="B45" s="303">
        <v>0</v>
      </c>
      <c r="C45" s="303" t="s">
        <v>2440</v>
      </c>
      <c r="D45" s="303"/>
      <c r="E45" s="303" t="s">
        <v>4531</v>
      </c>
      <c r="F45" s="207" t="s">
        <v>5971</v>
      </c>
      <c r="G45" s="206" t="s">
        <v>2452</v>
      </c>
      <c r="H45" s="303"/>
      <c r="I45" s="303" t="s">
        <v>2500</v>
      </c>
      <c r="J45" s="303"/>
      <c r="K45" s="206"/>
      <c r="L45" s="208" t="s">
        <v>2984</v>
      </c>
      <c r="M45" s="209" t="s">
        <v>4063</v>
      </c>
      <c r="N45" s="311" t="s">
        <v>2915</v>
      </c>
      <c r="O45" s="303" t="s">
        <v>256</v>
      </c>
      <c r="P45" s="303"/>
      <c r="Q45" s="303"/>
      <c r="R45" s="303"/>
      <c r="S45" s="303"/>
      <c r="T45" s="303" t="s">
        <v>256</v>
      </c>
      <c r="U45" s="303" t="s">
        <v>256</v>
      </c>
      <c r="V45" s="303" t="s">
        <v>256</v>
      </c>
      <c r="W45" s="303"/>
      <c r="X45" s="177" t="s">
        <v>2959</v>
      </c>
    </row>
    <row r="46" spans="1:24" ht="16.95" customHeight="1">
      <c r="A46" s="202" t="s">
        <v>2026</v>
      </c>
      <c r="B46" s="302">
        <v>0</v>
      </c>
      <c r="C46" s="302" t="s">
        <v>2967</v>
      </c>
      <c r="D46" s="302"/>
      <c r="E46" s="302"/>
      <c r="F46" s="203" t="s">
        <v>5971</v>
      </c>
      <c r="G46" s="202" t="s">
        <v>2461</v>
      </c>
      <c r="H46" s="302" t="s">
        <v>2498</v>
      </c>
      <c r="I46" s="302"/>
      <c r="J46" s="302"/>
      <c r="K46" s="202"/>
      <c r="L46" s="204" t="s">
        <v>2465</v>
      </c>
      <c r="M46" s="205" t="s">
        <v>4064</v>
      </c>
      <c r="N46" s="310" t="s">
        <v>2899</v>
      </c>
      <c r="O46" s="302" t="s">
        <v>256</v>
      </c>
      <c r="P46" s="302"/>
      <c r="Q46" s="302"/>
      <c r="R46" s="302"/>
      <c r="S46" s="302"/>
      <c r="T46" s="302"/>
      <c r="U46" s="302"/>
      <c r="V46" s="302"/>
      <c r="W46" s="302"/>
      <c r="X46" s="177" t="s">
        <v>2959</v>
      </c>
    </row>
    <row r="47" spans="1:24" ht="16.95" customHeight="1">
      <c r="A47" s="190" t="s">
        <v>2985</v>
      </c>
      <c r="B47" s="299">
        <v>0</v>
      </c>
      <c r="C47" s="299" t="s">
        <v>2429</v>
      </c>
      <c r="D47" s="299"/>
      <c r="E47" s="299"/>
      <c r="F47" s="191" t="s">
        <v>5971</v>
      </c>
      <c r="G47" s="190" t="s">
        <v>2458</v>
      </c>
      <c r="H47" s="299" t="s">
        <v>2498</v>
      </c>
      <c r="I47" s="299"/>
      <c r="J47" s="299" t="s">
        <v>2960</v>
      </c>
      <c r="K47" s="190" t="s">
        <v>2986</v>
      </c>
      <c r="L47" s="192" t="s">
        <v>2465</v>
      </c>
      <c r="M47" s="193" t="s">
        <v>4065</v>
      </c>
      <c r="N47" s="307" t="s">
        <v>2905</v>
      </c>
      <c r="O47" s="299"/>
      <c r="P47" s="299" t="s">
        <v>256</v>
      </c>
      <c r="Q47" s="299"/>
      <c r="R47" s="299"/>
      <c r="S47" s="299"/>
      <c r="T47" s="299"/>
      <c r="U47" s="299"/>
      <c r="V47" s="299"/>
      <c r="W47" s="299"/>
      <c r="X47" s="177" t="s">
        <v>2963</v>
      </c>
    </row>
    <row r="48" spans="1:24" ht="16.95" customHeight="1">
      <c r="A48" s="202" t="s">
        <v>2987</v>
      </c>
      <c r="B48" s="302">
        <v>0</v>
      </c>
      <c r="C48" s="302" t="s">
        <v>2988</v>
      </c>
      <c r="D48" s="302"/>
      <c r="E48" s="302"/>
      <c r="F48" s="203" t="s">
        <v>5971</v>
      </c>
      <c r="G48" s="202" t="s">
        <v>2945</v>
      </c>
      <c r="H48" s="302"/>
      <c r="I48" s="302" t="s">
        <v>2989</v>
      </c>
      <c r="J48" s="302"/>
      <c r="K48" s="202"/>
      <c r="L48" s="204" t="s">
        <v>2990</v>
      </c>
      <c r="M48" s="205" t="s">
        <v>4066</v>
      </c>
      <c r="N48" s="310" t="s">
        <v>2991</v>
      </c>
      <c r="O48" s="302"/>
      <c r="P48" s="302"/>
      <c r="Q48" s="302"/>
      <c r="R48" s="302"/>
      <c r="S48" s="302"/>
      <c r="T48" s="302"/>
      <c r="U48" s="302"/>
      <c r="V48" s="302"/>
      <c r="W48" s="302"/>
      <c r="X48" s="177" t="s">
        <v>2992</v>
      </c>
    </row>
    <row r="49" spans="1:24" ht="16.95" customHeight="1">
      <c r="A49" s="186" t="s">
        <v>2042</v>
      </c>
      <c r="B49" s="298">
        <v>1</v>
      </c>
      <c r="C49" s="298" t="s">
        <v>2433</v>
      </c>
      <c r="D49" s="298"/>
      <c r="E49" s="298"/>
      <c r="F49" s="187" t="s">
        <v>6057</v>
      </c>
      <c r="G49" s="186" t="s">
        <v>2475</v>
      </c>
      <c r="H49" s="298"/>
      <c r="I49" s="298" t="s">
        <v>2500</v>
      </c>
      <c r="J49" s="298"/>
      <c r="K49" s="186"/>
      <c r="L49" s="188" t="s">
        <v>2442</v>
      </c>
      <c r="M49" s="189" t="s">
        <v>4067</v>
      </c>
      <c r="N49" s="306" t="s">
        <v>2505</v>
      </c>
      <c r="O49" s="298"/>
      <c r="P49" s="298"/>
      <c r="Q49" s="298" t="s">
        <v>256</v>
      </c>
      <c r="R49" s="298"/>
      <c r="S49" s="298" t="s">
        <v>256</v>
      </c>
      <c r="T49" s="298" t="s">
        <v>256</v>
      </c>
      <c r="U49" s="298"/>
      <c r="V49" s="298" t="s">
        <v>256</v>
      </c>
      <c r="W49" s="298" t="s">
        <v>256</v>
      </c>
      <c r="X49" s="177" t="s">
        <v>2963</v>
      </c>
    </row>
    <row r="50" spans="1:24" ht="16.95" customHeight="1">
      <c r="A50" s="186" t="s">
        <v>1993</v>
      </c>
      <c r="B50" s="298">
        <v>1</v>
      </c>
      <c r="C50" s="298" t="s">
        <v>4552</v>
      </c>
      <c r="D50" s="298" t="s">
        <v>256</v>
      </c>
      <c r="E50" s="298"/>
      <c r="F50" s="187" t="s">
        <v>2438</v>
      </c>
      <c r="G50" s="186" t="s">
        <v>2452</v>
      </c>
      <c r="H50" s="298" t="s">
        <v>2498</v>
      </c>
      <c r="I50" s="298" t="s">
        <v>2500</v>
      </c>
      <c r="J50" s="298" t="s">
        <v>2960</v>
      </c>
      <c r="K50" s="186" t="s">
        <v>2993</v>
      </c>
      <c r="L50" s="188" t="s">
        <v>2444</v>
      </c>
      <c r="M50" s="189" t="s">
        <v>4068</v>
      </c>
      <c r="N50" s="306" t="s">
        <v>2510</v>
      </c>
      <c r="O50" s="298"/>
      <c r="P50" s="298"/>
      <c r="Q50" s="298"/>
      <c r="R50" s="298"/>
      <c r="S50" s="298" t="s">
        <v>256</v>
      </c>
      <c r="T50" s="298"/>
      <c r="U50" s="298"/>
      <c r="V50" s="298" t="s">
        <v>256</v>
      </c>
      <c r="W50" s="298" t="s">
        <v>256</v>
      </c>
      <c r="X50" s="177" t="s">
        <v>2959</v>
      </c>
    </row>
    <row r="51" spans="1:24" ht="16.95" customHeight="1">
      <c r="A51" s="202" t="s">
        <v>2027</v>
      </c>
      <c r="B51" s="302">
        <v>1</v>
      </c>
      <c r="C51" s="302" t="s">
        <v>2967</v>
      </c>
      <c r="D51" s="302"/>
      <c r="E51" s="302"/>
      <c r="F51" s="203" t="s">
        <v>5971</v>
      </c>
      <c r="G51" s="202" t="s">
        <v>2452</v>
      </c>
      <c r="H51" s="302" t="s">
        <v>2498</v>
      </c>
      <c r="I51" s="302" t="s">
        <v>2500</v>
      </c>
      <c r="J51" s="302" t="s">
        <v>2960</v>
      </c>
      <c r="K51" s="202" t="s">
        <v>2994</v>
      </c>
      <c r="L51" s="204" t="s">
        <v>2448</v>
      </c>
      <c r="M51" s="205" t="s">
        <v>4069</v>
      </c>
      <c r="N51" s="310" t="s">
        <v>2538</v>
      </c>
      <c r="O51" s="302" t="s">
        <v>256</v>
      </c>
      <c r="P51" s="302"/>
      <c r="Q51" s="302" t="s">
        <v>256</v>
      </c>
      <c r="R51" s="302"/>
      <c r="S51" s="302" t="s">
        <v>256</v>
      </c>
      <c r="T51" s="302"/>
      <c r="U51" s="302"/>
      <c r="V51" s="302"/>
      <c r="W51" s="302"/>
      <c r="X51" s="177" t="s">
        <v>2959</v>
      </c>
    </row>
    <row r="52" spans="1:24" ht="16.95" customHeight="1">
      <c r="A52" s="186" t="s">
        <v>2076</v>
      </c>
      <c r="B52" s="298">
        <v>1</v>
      </c>
      <c r="C52" s="298" t="s">
        <v>2433</v>
      </c>
      <c r="D52" s="298"/>
      <c r="E52" s="298"/>
      <c r="F52" s="187" t="s">
        <v>5971</v>
      </c>
      <c r="G52" s="186" t="s">
        <v>2475</v>
      </c>
      <c r="H52" s="298" t="s">
        <v>2498</v>
      </c>
      <c r="I52" s="298" t="s">
        <v>2500</v>
      </c>
      <c r="J52" s="298" t="s">
        <v>2960</v>
      </c>
      <c r="K52" s="186" t="s">
        <v>2995</v>
      </c>
      <c r="L52" s="188" t="s">
        <v>2434</v>
      </c>
      <c r="M52" s="189" t="s">
        <v>4070</v>
      </c>
      <c r="N52" s="306" t="s">
        <v>2513</v>
      </c>
      <c r="O52" s="298"/>
      <c r="P52" s="298"/>
      <c r="Q52" s="298"/>
      <c r="R52" s="298"/>
      <c r="S52" s="298"/>
      <c r="T52" s="298"/>
      <c r="U52" s="298" t="s">
        <v>256</v>
      </c>
      <c r="V52" s="298"/>
      <c r="W52" s="298"/>
      <c r="X52" s="177" t="s">
        <v>2959</v>
      </c>
    </row>
    <row r="53" spans="1:24" ht="16.95" customHeight="1">
      <c r="A53" s="182" t="s">
        <v>2081</v>
      </c>
      <c r="B53" s="297">
        <v>1</v>
      </c>
      <c r="C53" s="297" t="s">
        <v>2443</v>
      </c>
      <c r="D53" s="297"/>
      <c r="E53" s="297"/>
      <c r="F53" s="183" t="s">
        <v>5971</v>
      </c>
      <c r="G53" s="182" t="s">
        <v>2479</v>
      </c>
      <c r="H53" s="297" t="s">
        <v>2498</v>
      </c>
      <c r="I53" s="297" t="s">
        <v>2500</v>
      </c>
      <c r="J53" s="297"/>
      <c r="K53" s="182"/>
      <c r="L53" s="184" t="s">
        <v>2465</v>
      </c>
      <c r="M53" s="185" t="s">
        <v>4071</v>
      </c>
      <c r="N53" s="305" t="s">
        <v>2514</v>
      </c>
      <c r="O53" s="297"/>
      <c r="P53" s="297"/>
      <c r="Q53" s="297"/>
      <c r="R53" s="297"/>
      <c r="S53" s="297"/>
      <c r="T53" s="297"/>
      <c r="U53" s="297" t="s">
        <v>256</v>
      </c>
      <c r="V53" s="297"/>
      <c r="W53" s="297"/>
      <c r="X53" s="177" t="s">
        <v>2959</v>
      </c>
    </row>
    <row r="54" spans="1:24" ht="16.95" customHeight="1">
      <c r="A54" s="202" t="s">
        <v>2044</v>
      </c>
      <c r="B54" s="302">
        <v>1</v>
      </c>
      <c r="C54" s="302" t="s">
        <v>2967</v>
      </c>
      <c r="D54" s="302"/>
      <c r="E54" s="302" t="s">
        <v>4531</v>
      </c>
      <c r="F54" s="203" t="s">
        <v>5971</v>
      </c>
      <c r="G54" s="202" t="s">
        <v>2452</v>
      </c>
      <c r="H54" s="302" t="s">
        <v>2498</v>
      </c>
      <c r="I54" s="302" t="s">
        <v>2500</v>
      </c>
      <c r="J54" s="302" t="s">
        <v>2960</v>
      </c>
      <c r="K54" s="202" t="s">
        <v>2996</v>
      </c>
      <c r="L54" s="204" t="s">
        <v>2964</v>
      </c>
      <c r="M54" s="205" t="s">
        <v>4072</v>
      </c>
      <c r="N54" s="310" t="s">
        <v>2536</v>
      </c>
      <c r="O54" s="302" t="s">
        <v>256</v>
      </c>
      <c r="P54" s="302" t="s">
        <v>256</v>
      </c>
      <c r="Q54" s="302"/>
      <c r="R54" s="302"/>
      <c r="S54" s="302"/>
      <c r="T54" s="302"/>
      <c r="U54" s="302"/>
      <c r="V54" s="302"/>
      <c r="W54" s="302"/>
      <c r="X54" s="177" t="s">
        <v>2959</v>
      </c>
    </row>
    <row r="55" spans="1:24" ht="16.95" customHeight="1">
      <c r="A55" s="206" t="s">
        <v>2048</v>
      </c>
      <c r="B55" s="303">
        <v>1</v>
      </c>
      <c r="C55" s="303" t="s">
        <v>2440</v>
      </c>
      <c r="D55" s="303"/>
      <c r="E55" s="303" t="s">
        <v>4531</v>
      </c>
      <c r="F55" s="207" t="s">
        <v>5971</v>
      </c>
      <c r="G55" s="206" t="s">
        <v>2467</v>
      </c>
      <c r="H55" s="303" t="s">
        <v>2498</v>
      </c>
      <c r="I55" s="303" t="s">
        <v>2500</v>
      </c>
      <c r="J55" s="303" t="s">
        <v>2960</v>
      </c>
      <c r="K55" s="206" t="s">
        <v>2997</v>
      </c>
      <c r="L55" s="208" t="s">
        <v>2998</v>
      </c>
      <c r="M55" s="209" t="s">
        <v>4073</v>
      </c>
      <c r="N55" s="311" t="s">
        <v>2508</v>
      </c>
      <c r="O55" s="303"/>
      <c r="P55" s="303"/>
      <c r="Q55" s="303" t="s">
        <v>256</v>
      </c>
      <c r="R55" s="303"/>
      <c r="S55" s="303" t="s">
        <v>256</v>
      </c>
      <c r="T55" s="303"/>
      <c r="U55" s="303"/>
      <c r="V55" s="303"/>
      <c r="W55" s="303"/>
      <c r="X55" s="177" t="s">
        <v>2963</v>
      </c>
    </row>
    <row r="56" spans="1:24" ht="16.95" customHeight="1">
      <c r="A56" s="202" t="s">
        <v>2038</v>
      </c>
      <c r="B56" s="302">
        <v>1</v>
      </c>
      <c r="C56" s="302" t="s">
        <v>2967</v>
      </c>
      <c r="D56" s="302"/>
      <c r="E56" s="302" t="s">
        <v>4531</v>
      </c>
      <c r="F56" s="203" t="s">
        <v>5971</v>
      </c>
      <c r="G56" s="202" t="s">
        <v>2452</v>
      </c>
      <c r="H56" s="302" t="s">
        <v>2498</v>
      </c>
      <c r="I56" s="302" t="s">
        <v>2500</v>
      </c>
      <c r="J56" s="302" t="s">
        <v>2960</v>
      </c>
      <c r="K56" s="202" t="s">
        <v>2999</v>
      </c>
      <c r="L56" s="204" t="s">
        <v>2964</v>
      </c>
      <c r="M56" s="205" t="s">
        <v>4074</v>
      </c>
      <c r="N56" s="310" t="s">
        <v>2550</v>
      </c>
      <c r="O56" s="302"/>
      <c r="P56" s="302" t="s">
        <v>256</v>
      </c>
      <c r="Q56" s="302"/>
      <c r="R56" s="302" t="s">
        <v>256</v>
      </c>
      <c r="S56" s="302"/>
      <c r="T56" s="302"/>
      <c r="U56" s="302"/>
      <c r="V56" s="302"/>
      <c r="W56" s="302"/>
      <c r="X56" s="177" t="s">
        <v>2959</v>
      </c>
    </row>
    <row r="57" spans="1:24" ht="16.95" customHeight="1">
      <c r="A57" s="190" t="s">
        <v>2141</v>
      </c>
      <c r="B57" s="299">
        <v>1</v>
      </c>
      <c r="C57" s="299" t="s">
        <v>2429</v>
      </c>
      <c r="D57" s="299"/>
      <c r="E57" s="299"/>
      <c r="F57" s="191" t="s">
        <v>5971</v>
      </c>
      <c r="G57" s="190" t="s">
        <v>2486</v>
      </c>
      <c r="H57" s="299" t="s">
        <v>2498</v>
      </c>
      <c r="I57" s="299" t="s">
        <v>2500</v>
      </c>
      <c r="J57" s="299"/>
      <c r="K57" s="190"/>
      <c r="L57" s="192" t="s">
        <v>2465</v>
      </c>
      <c r="M57" s="193" t="s">
        <v>4075</v>
      </c>
      <c r="N57" s="307" t="s">
        <v>3000</v>
      </c>
      <c r="O57" s="299"/>
      <c r="P57" s="299"/>
      <c r="Q57" s="299"/>
      <c r="R57" s="299"/>
      <c r="S57" s="299"/>
      <c r="T57" s="299" t="s">
        <v>256</v>
      </c>
      <c r="U57" s="299"/>
      <c r="V57" s="299" t="s">
        <v>256</v>
      </c>
      <c r="W57" s="299"/>
      <c r="X57" s="177" t="s">
        <v>2959</v>
      </c>
    </row>
    <row r="58" spans="1:24" ht="16.95" customHeight="1">
      <c r="A58" s="198" t="s">
        <v>2124</v>
      </c>
      <c r="B58" s="301">
        <v>1</v>
      </c>
      <c r="C58" s="301" t="s">
        <v>2425</v>
      </c>
      <c r="D58" s="301"/>
      <c r="E58" s="301"/>
      <c r="F58" s="199" t="s">
        <v>5971</v>
      </c>
      <c r="G58" s="198" t="s">
        <v>2461</v>
      </c>
      <c r="H58" s="301"/>
      <c r="I58" s="301" t="s">
        <v>2500</v>
      </c>
      <c r="J58" s="301"/>
      <c r="K58" s="198"/>
      <c r="L58" s="200" t="s">
        <v>2465</v>
      </c>
      <c r="M58" s="201" t="s">
        <v>4076</v>
      </c>
      <c r="N58" s="309" t="s">
        <v>2499</v>
      </c>
      <c r="O58" s="301"/>
      <c r="P58" s="301"/>
      <c r="Q58" s="301"/>
      <c r="R58" s="301"/>
      <c r="S58" s="301"/>
      <c r="T58" s="301" t="s">
        <v>256</v>
      </c>
      <c r="U58" s="301"/>
      <c r="V58" s="301" t="s">
        <v>256</v>
      </c>
      <c r="W58" s="301" t="s">
        <v>256</v>
      </c>
      <c r="X58" s="177" t="s">
        <v>2963</v>
      </c>
    </row>
    <row r="59" spans="1:24" ht="16.95" customHeight="1">
      <c r="A59" s="194" t="s">
        <v>2112</v>
      </c>
      <c r="B59" s="300">
        <v>1</v>
      </c>
      <c r="C59" s="300" t="s">
        <v>2437</v>
      </c>
      <c r="D59" s="300"/>
      <c r="E59" s="300" t="s">
        <v>4531</v>
      </c>
      <c r="F59" s="195" t="s">
        <v>5971</v>
      </c>
      <c r="G59" s="194" t="s">
        <v>2461</v>
      </c>
      <c r="H59" s="300" t="s">
        <v>2498</v>
      </c>
      <c r="I59" s="300"/>
      <c r="J59" s="300"/>
      <c r="K59" s="194"/>
      <c r="L59" s="196" t="s">
        <v>2964</v>
      </c>
      <c r="M59" s="197" t="s">
        <v>4077</v>
      </c>
      <c r="N59" s="308" t="s">
        <v>2506</v>
      </c>
      <c r="O59" s="300"/>
      <c r="P59" s="300"/>
      <c r="Q59" s="300"/>
      <c r="R59" s="300"/>
      <c r="S59" s="300"/>
      <c r="T59" s="300"/>
      <c r="U59" s="300" t="s">
        <v>256</v>
      </c>
      <c r="V59" s="300" t="s">
        <v>256</v>
      </c>
      <c r="W59" s="300"/>
      <c r="X59" s="177" t="s">
        <v>2963</v>
      </c>
    </row>
    <row r="60" spans="1:24" ht="16.95" customHeight="1">
      <c r="A60" s="186" t="s">
        <v>2028</v>
      </c>
      <c r="B60" s="298">
        <v>1</v>
      </c>
      <c r="C60" s="298" t="s">
        <v>4552</v>
      </c>
      <c r="D60" s="298" t="s">
        <v>256</v>
      </c>
      <c r="E60" s="298"/>
      <c r="F60" s="187" t="s">
        <v>2434</v>
      </c>
      <c r="G60" s="186" t="s">
        <v>2467</v>
      </c>
      <c r="H60" s="298" t="s">
        <v>2498</v>
      </c>
      <c r="I60" s="298" t="s">
        <v>2500</v>
      </c>
      <c r="J60" s="298" t="s">
        <v>2960</v>
      </c>
      <c r="K60" s="186" t="s">
        <v>3001</v>
      </c>
      <c r="L60" s="188" t="s">
        <v>2465</v>
      </c>
      <c r="M60" s="189" t="s">
        <v>4078</v>
      </c>
      <c r="N60" s="306" t="s">
        <v>2504</v>
      </c>
      <c r="O60" s="298"/>
      <c r="P60" s="298" t="s">
        <v>256</v>
      </c>
      <c r="Q60" s="298"/>
      <c r="R60" s="298" t="s">
        <v>256</v>
      </c>
      <c r="S60" s="298"/>
      <c r="T60" s="298"/>
      <c r="U60" s="298"/>
      <c r="V60" s="298"/>
      <c r="W60" s="298"/>
      <c r="X60" s="177" t="s">
        <v>2963</v>
      </c>
    </row>
    <row r="61" spans="1:24" ht="16.95" customHeight="1">
      <c r="A61" s="190" t="s">
        <v>2178</v>
      </c>
      <c r="B61" s="299">
        <v>1</v>
      </c>
      <c r="C61" s="299" t="s">
        <v>2429</v>
      </c>
      <c r="D61" s="299"/>
      <c r="E61" s="299"/>
      <c r="F61" s="191" t="s">
        <v>5971</v>
      </c>
      <c r="G61" s="190" t="s">
        <v>2435</v>
      </c>
      <c r="H61" s="299" t="s">
        <v>2498</v>
      </c>
      <c r="I61" s="299" t="s">
        <v>2500</v>
      </c>
      <c r="J61" s="299"/>
      <c r="K61" s="190"/>
      <c r="L61" s="192" t="s">
        <v>2465</v>
      </c>
      <c r="M61" s="193" t="s">
        <v>4079</v>
      </c>
      <c r="N61" s="307" t="s">
        <v>2502</v>
      </c>
      <c r="O61" s="299"/>
      <c r="P61" s="299"/>
      <c r="Q61" s="299"/>
      <c r="R61" s="299"/>
      <c r="S61" s="299"/>
      <c r="T61" s="299" t="s">
        <v>256</v>
      </c>
      <c r="U61" s="299"/>
      <c r="V61" s="299"/>
      <c r="W61" s="299"/>
      <c r="X61" s="177" t="s">
        <v>2963</v>
      </c>
    </row>
    <row r="62" spans="1:24" ht="16.95" customHeight="1">
      <c r="A62" s="202" t="s">
        <v>2105</v>
      </c>
      <c r="B62" s="302">
        <v>1</v>
      </c>
      <c r="C62" s="302" t="s">
        <v>2967</v>
      </c>
      <c r="D62" s="302"/>
      <c r="E62" s="302"/>
      <c r="F62" s="203" t="s">
        <v>5971</v>
      </c>
      <c r="G62" s="202" t="s">
        <v>2452</v>
      </c>
      <c r="H62" s="302" t="s">
        <v>2498</v>
      </c>
      <c r="I62" s="302" t="s">
        <v>2500</v>
      </c>
      <c r="J62" s="302"/>
      <c r="K62" s="202"/>
      <c r="L62" s="204" t="s">
        <v>2434</v>
      </c>
      <c r="M62" s="205" t="s">
        <v>4080</v>
      </c>
      <c r="N62" s="310" t="s">
        <v>2540</v>
      </c>
      <c r="O62" s="302" t="s">
        <v>256</v>
      </c>
      <c r="P62" s="302"/>
      <c r="Q62" s="302" t="s">
        <v>256</v>
      </c>
      <c r="R62" s="302"/>
      <c r="S62" s="302"/>
      <c r="T62" s="302" t="s">
        <v>256</v>
      </c>
      <c r="U62" s="302" t="s">
        <v>256</v>
      </c>
      <c r="V62" s="302" t="s">
        <v>256</v>
      </c>
      <c r="W62" s="302"/>
      <c r="X62" s="177" t="s">
        <v>2959</v>
      </c>
    </row>
    <row r="63" spans="1:24" ht="16.95" customHeight="1">
      <c r="A63" s="190" t="s">
        <v>2147</v>
      </c>
      <c r="B63" s="299">
        <v>1</v>
      </c>
      <c r="C63" s="299" t="s">
        <v>2429</v>
      </c>
      <c r="D63" s="299"/>
      <c r="E63" s="299"/>
      <c r="F63" s="191" t="s">
        <v>5971</v>
      </c>
      <c r="G63" s="190" t="s">
        <v>2463</v>
      </c>
      <c r="H63" s="299" t="s">
        <v>2498</v>
      </c>
      <c r="I63" s="299" t="s">
        <v>2500</v>
      </c>
      <c r="J63" s="299" t="s">
        <v>2960</v>
      </c>
      <c r="K63" s="190" t="s">
        <v>3002</v>
      </c>
      <c r="L63" s="192" t="s">
        <v>2465</v>
      </c>
      <c r="M63" s="193" t="s">
        <v>4081</v>
      </c>
      <c r="N63" s="307" t="s">
        <v>2519</v>
      </c>
      <c r="O63" s="299"/>
      <c r="P63" s="299"/>
      <c r="Q63" s="299"/>
      <c r="R63" s="299"/>
      <c r="S63" s="299"/>
      <c r="T63" s="299" t="s">
        <v>256</v>
      </c>
      <c r="U63" s="299"/>
      <c r="V63" s="299" t="s">
        <v>256</v>
      </c>
      <c r="W63" s="299"/>
      <c r="X63" s="177" t="s">
        <v>2959</v>
      </c>
    </row>
    <row r="64" spans="1:24" ht="16.95" customHeight="1">
      <c r="A64" s="210" t="s">
        <v>2151</v>
      </c>
      <c r="B64" s="304">
        <v>1</v>
      </c>
      <c r="C64" s="304" t="s">
        <v>2450</v>
      </c>
      <c r="D64" s="304"/>
      <c r="E64" s="304"/>
      <c r="F64" s="211" t="s">
        <v>5971</v>
      </c>
      <c r="G64" s="210" t="s">
        <v>2486</v>
      </c>
      <c r="H64" s="304" t="s">
        <v>2498</v>
      </c>
      <c r="I64" s="304" t="s">
        <v>2500</v>
      </c>
      <c r="J64" s="304" t="s">
        <v>2960</v>
      </c>
      <c r="K64" s="210" t="s">
        <v>3003</v>
      </c>
      <c r="L64" s="212" t="s">
        <v>2442</v>
      </c>
      <c r="M64" s="213" t="s">
        <v>4082</v>
      </c>
      <c r="N64" s="312" t="s">
        <v>2520</v>
      </c>
      <c r="O64" s="304" t="s">
        <v>3078</v>
      </c>
      <c r="P64" s="304"/>
      <c r="Q64" s="304"/>
      <c r="R64" s="304"/>
      <c r="S64" s="304"/>
      <c r="T64" s="304" t="s">
        <v>256</v>
      </c>
      <c r="U64" s="304"/>
      <c r="V64" s="304" t="s">
        <v>256</v>
      </c>
      <c r="W64" s="304"/>
      <c r="X64" s="177" t="s">
        <v>2959</v>
      </c>
    </row>
    <row r="65" spans="1:24" ht="16.95" customHeight="1">
      <c r="A65" s="202" t="s">
        <v>2043</v>
      </c>
      <c r="B65" s="302">
        <v>1</v>
      </c>
      <c r="C65" s="302" t="s">
        <v>2967</v>
      </c>
      <c r="D65" s="302"/>
      <c r="E65" s="302"/>
      <c r="F65" s="203" t="s">
        <v>5971</v>
      </c>
      <c r="G65" s="202" t="s">
        <v>2461</v>
      </c>
      <c r="H65" s="302" t="s">
        <v>2498</v>
      </c>
      <c r="I65" s="302"/>
      <c r="J65" s="302"/>
      <c r="K65" s="202"/>
      <c r="L65" s="204" t="s">
        <v>2442</v>
      </c>
      <c r="M65" s="205" t="s">
        <v>4083</v>
      </c>
      <c r="N65" s="310" t="s">
        <v>2551</v>
      </c>
      <c r="O65" s="302" t="s">
        <v>3078</v>
      </c>
      <c r="P65" s="302" t="s">
        <v>256</v>
      </c>
      <c r="Q65" s="302"/>
      <c r="R65" s="302" t="s">
        <v>256</v>
      </c>
      <c r="S65" s="302"/>
      <c r="T65" s="302"/>
      <c r="U65" s="302"/>
      <c r="V65" s="302"/>
      <c r="W65" s="302"/>
      <c r="X65" s="177" t="s">
        <v>2959</v>
      </c>
    </row>
    <row r="66" spans="1:24" ht="16.95" customHeight="1">
      <c r="A66" s="202" t="s">
        <v>2008</v>
      </c>
      <c r="B66" s="302">
        <v>1</v>
      </c>
      <c r="C66" s="302" t="s">
        <v>2967</v>
      </c>
      <c r="D66" s="302"/>
      <c r="E66" s="302" t="s">
        <v>4531</v>
      </c>
      <c r="F66" s="203" t="s">
        <v>6007</v>
      </c>
      <c r="G66" s="202" t="s">
        <v>2452</v>
      </c>
      <c r="H66" s="302" t="s">
        <v>2498</v>
      </c>
      <c r="I66" s="302"/>
      <c r="J66" s="302"/>
      <c r="K66" s="202"/>
      <c r="L66" s="204" t="s">
        <v>2964</v>
      </c>
      <c r="M66" s="205" t="s">
        <v>4084</v>
      </c>
      <c r="N66" s="310" t="s">
        <v>2544</v>
      </c>
      <c r="O66" s="302"/>
      <c r="P66" s="302"/>
      <c r="Q66" s="302"/>
      <c r="R66" s="302" t="s">
        <v>256</v>
      </c>
      <c r="S66" s="302"/>
      <c r="T66" s="302"/>
      <c r="U66" s="302"/>
      <c r="V66" s="302"/>
      <c r="W66" s="302"/>
      <c r="X66" s="177" t="s">
        <v>2959</v>
      </c>
    </row>
    <row r="67" spans="1:24" ht="16.95" customHeight="1">
      <c r="A67" s="206" t="s">
        <v>2058</v>
      </c>
      <c r="B67" s="303">
        <v>1</v>
      </c>
      <c r="C67" s="303" t="s">
        <v>4553</v>
      </c>
      <c r="D67" s="303" t="s">
        <v>256</v>
      </c>
      <c r="E67" s="303"/>
      <c r="F67" s="207" t="s">
        <v>5971</v>
      </c>
      <c r="G67" s="206" t="s">
        <v>2475</v>
      </c>
      <c r="H67" s="303" t="s">
        <v>2498</v>
      </c>
      <c r="I67" s="303" t="s">
        <v>2500</v>
      </c>
      <c r="J67" s="303" t="s">
        <v>2960</v>
      </c>
      <c r="K67" s="206" t="s">
        <v>3004</v>
      </c>
      <c r="L67" s="208" t="s">
        <v>2434</v>
      </c>
      <c r="M67" s="209" t="s">
        <v>4085</v>
      </c>
      <c r="N67" s="311" t="s">
        <v>3005</v>
      </c>
      <c r="O67" s="303" t="s">
        <v>256</v>
      </c>
      <c r="P67" s="303"/>
      <c r="Q67" s="303"/>
      <c r="R67" s="303"/>
      <c r="S67" s="303"/>
      <c r="T67" s="303" t="s">
        <v>256</v>
      </c>
      <c r="U67" s="303" t="s">
        <v>256</v>
      </c>
      <c r="V67" s="303" t="s">
        <v>256</v>
      </c>
      <c r="W67" s="303"/>
      <c r="X67" s="177" t="s">
        <v>2959</v>
      </c>
    </row>
    <row r="68" spans="1:24" ht="16.95" customHeight="1">
      <c r="A68" s="198" t="s">
        <v>5271</v>
      </c>
      <c r="B68" s="301">
        <v>1</v>
      </c>
      <c r="C68" s="301" t="s">
        <v>2425</v>
      </c>
      <c r="D68" s="301"/>
      <c r="E68" s="301"/>
      <c r="F68" s="199" t="s">
        <v>5971</v>
      </c>
      <c r="G68" s="198" t="s">
        <v>2452</v>
      </c>
      <c r="H68" s="301" t="s">
        <v>2498</v>
      </c>
      <c r="I68" s="301" t="s">
        <v>2500</v>
      </c>
      <c r="J68" s="301" t="s">
        <v>2960</v>
      </c>
      <c r="K68" s="198" t="s">
        <v>3006</v>
      </c>
      <c r="L68" s="200" t="s">
        <v>2465</v>
      </c>
      <c r="M68" s="201" t="s">
        <v>4086</v>
      </c>
      <c r="N68" s="309" t="s">
        <v>2556</v>
      </c>
      <c r="O68" s="301"/>
      <c r="P68" s="301" t="s">
        <v>256</v>
      </c>
      <c r="Q68" s="301" t="s">
        <v>256</v>
      </c>
      <c r="R68" s="301"/>
      <c r="S68" s="301"/>
      <c r="T68" s="301"/>
      <c r="U68" s="301"/>
      <c r="V68" s="301"/>
      <c r="W68" s="301"/>
      <c r="X68" s="177" t="s">
        <v>2959</v>
      </c>
    </row>
    <row r="69" spans="1:24" ht="16.95" customHeight="1">
      <c r="A69" s="190" t="s">
        <v>2004</v>
      </c>
      <c r="B69" s="299">
        <v>1</v>
      </c>
      <c r="C69" s="299" t="s">
        <v>2429</v>
      </c>
      <c r="D69" s="299"/>
      <c r="E69" s="299"/>
      <c r="F69" s="191" t="s">
        <v>5971</v>
      </c>
      <c r="G69" s="190" t="s">
        <v>2467</v>
      </c>
      <c r="H69" s="299" t="s">
        <v>2498</v>
      </c>
      <c r="I69" s="299" t="s">
        <v>2500</v>
      </c>
      <c r="J69" s="299"/>
      <c r="K69" s="190"/>
      <c r="L69" s="192" t="s">
        <v>2465</v>
      </c>
      <c r="M69" s="193" t="s">
        <v>4087</v>
      </c>
      <c r="N69" s="307" t="s">
        <v>2534</v>
      </c>
      <c r="O69" s="299" t="s">
        <v>256</v>
      </c>
      <c r="P69" s="299" t="s">
        <v>256</v>
      </c>
      <c r="Q69" s="299" t="s">
        <v>256</v>
      </c>
      <c r="R69" s="299" t="s">
        <v>256</v>
      </c>
      <c r="S69" s="299" t="s">
        <v>256</v>
      </c>
      <c r="T69" s="299"/>
      <c r="U69" s="299"/>
      <c r="V69" s="299"/>
      <c r="W69" s="299" t="s">
        <v>256</v>
      </c>
      <c r="X69" s="177" t="s">
        <v>2959</v>
      </c>
    </row>
    <row r="70" spans="1:24" ht="16.95" customHeight="1">
      <c r="A70" s="206" t="s">
        <v>2046</v>
      </c>
      <c r="B70" s="303">
        <v>1</v>
      </c>
      <c r="C70" s="303" t="s">
        <v>2440</v>
      </c>
      <c r="D70" s="303"/>
      <c r="E70" s="303" t="s">
        <v>4531</v>
      </c>
      <c r="F70" s="207" t="s">
        <v>5971</v>
      </c>
      <c r="G70" s="206" t="s">
        <v>2475</v>
      </c>
      <c r="H70" s="303" t="s">
        <v>2498</v>
      </c>
      <c r="I70" s="303" t="s">
        <v>2500</v>
      </c>
      <c r="J70" s="303"/>
      <c r="K70" s="206"/>
      <c r="L70" s="208" t="s">
        <v>2998</v>
      </c>
      <c r="M70" s="209" t="s">
        <v>4088</v>
      </c>
      <c r="N70" s="311" t="s">
        <v>2552</v>
      </c>
      <c r="O70" s="303"/>
      <c r="P70" s="303" t="s">
        <v>256</v>
      </c>
      <c r="Q70" s="303"/>
      <c r="R70" s="303" t="s">
        <v>256</v>
      </c>
      <c r="S70" s="303"/>
      <c r="T70" s="303"/>
      <c r="U70" s="303"/>
      <c r="V70" s="303"/>
      <c r="W70" s="303"/>
      <c r="X70" s="177" t="s">
        <v>2959</v>
      </c>
    </row>
    <row r="71" spans="1:24" ht="16.95" customHeight="1">
      <c r="A71" s="206" t="s">
        <v>1999</v>
      </c>
      <c r="B71" s="303">
        <v>1</v>
      </c>
      <c r="C71" s="303" t="s">
        <v>4553</v>
      </c>
      <c r="D71" s="303" t="s">
        <v>256</v>
      </c>
      <c r="E71" s="303" t="s">
        <v>4531</v>
      </c>
      <c r="F71" s="207" t="s">
        <v>5971</v>
      </c>
      <c r="G71" s="206" t="s">
        <v>2475</v>
      </c>
      <c r="H71" s="303" t="s">
        <v>2498</v>
      </c>
      <c r="I71" s="303" t="s">
        <v>2500</v>
      </c>
      <c r="J71" s="303"/>
      <c r="K71" s="206"/>
      <c r="L71" s="208" t="s">
        <v>2998</v>
      </c>
      <c r="M71" s="209" t="s">
        <v>4089</v>
      </c>
      <c r="N71" s="311" t="s">
        <v>2533</v>
      </c>
      <c r="O71" s="303" t="s">
        <v>256</v>
      </c>
      <c r="P71" s="303" t="s">
        <v>256</v>
      </c>
      <c r="Q71" s="303" t="s">
        <v>256</v>
      </c>
      <c r="R71" s="303" t="s">
        <v>256</v>
      </c>
      <c r="S71" s="303" t="s">
        <v>256</v>
      </c>
      <c r="T71" s="303" t="s">
        <v>256</v>
      </c>
      <c r="U71" s="303"/>
      <c r="V71" s="303" t="s">
        <v>256</v>
      </c>
      <c r="W71" s="303" t="s">
        <v>256</v>
      </c>
      <c r="X71" s="177" t="s">
        <v>2959</v>
      </c>
    </row>
    <row r="72" spans="1:24" ht="16.95" customHeight="1">
      <c r="A72" s="206" t="s">
        <v>2037</v>
      </c>
      <c r="B72" s="303">
        <v>1</v>
      </c>
      <c r="C72" s="303" t="s">
        <v>4553</v>
      </c>
      <c r="D72" s="303" t="s">
        <v>256</v>
      </c>
      <c r="E72" s="303" t="s">
        <v>4531</v>
      </c>
      <c r="F72" s="207" t="s">
        <v>5971</v>
      </c>
      <c r="G72" s="206" t="s">
        <v>2475</v>
      </c>
      <c r="H72" s="303" t="s">
        <v>2498</v>
      </c>
      <c r="I72" s="303" t="s">
        <v>2500</v>
      </c>
      <c r="J72" s="303" t="s">
        <v>2960</v>
      </c>
      <c r="K72" s="206" t="s">
        <v>3007</v>
      </c>
      <c r="L72" s="208" t="s">
        <v>2998</v>
      </c>
      <c r="M72" s="209" t="s">
        <v>4090</v>
      </c>
      <c r="N72" s="311" t="s">
        <v>2554</v>
      </c>
      <c r="O72" s="303"/>
      <c r="P72" s="303" t="s">
        <v>256</v>
      </c>
      <c r="Q72" s="303" t="s">
        <v>256</v>
      </c>
      <c r="R72" s="303" t="s">
        <v>256</v>
      </c>
      <c r="S72" s="303" t="s">
        <v>256</v>
      </c>
      <c r="T72" s="303"/>
      <c r="U72" s="303"/>
      <c r="V72" s="303"/>
      <c r="W72" s="303"/>
      <c r="X72" s="177" t="s">
        <v>2959</v>
      </c>
    </row>
    <row r="73" spans="1:24" ht="16.95" customHeight="1">
      <c r="A73" s="210" t="s">
        <v>2060</v>
      </c>
      <c r="B73" s="304">
        <v>1</v>
      </c>
      <c r="C73" s="304" t="s">
        <v>2450</v>
      </c>
      <c r="D73" s="304"/>
      <c r="E73" s="304"/>
      <c r="F73" s="211" t="s">
        <v>5971</v>
      </c>
      <c r="G73" s="210" t="s">
        <v>2475</v>
      </c>
      <c r="H73" s="304" t="s">
        <v>2498</v>
      </c>
      <c r="I73" s="304" t="s">
        <v>2500</v>
      </c>
      <c r="J73" s="304"/>
      <c r="K73" s="210"/>
      <c r="L73" s="212" t="s">
        <v>2434</v>
      </c>
      <c r="M73" s="213" t="s">
        <v>4091</v>
      </c>
      <c r="N73" s="312" t="s">
        <v>2528</v>
      </c>
      <c r="O73" s="304" t="s">
        <v>256</v>
      </c>
      <c r="P73" s="304"/>
      <c r="Q73" s="304"/>
      <c r="R73" s="304"/>
      <c r="S73" s="304"/>
      <c r="T73" s="304" t="s">
        <v>256</v>
      </c>
      <c r="U73" s="304"/>
      <c r="V73" s="304" t="s">
        <v>256</v>
      </c>
      <c r="W73" s="304" t="s">
        <v>256</v>
      </c>
      <c r="X73" s="177" t="s">
        <v>2959</v>
      </c>
    </row>
    <row r="74" spans="1:24" ht="16.95" customHeight="1">
      <c r="A74" s="202" t="s">
        <v>2119</v>
      </c>
      <c r="B74" s="302">
        <v>1</v>
      </c>
      <c r="C74" s="302" t="s">
        <v>2967</v>
      </c>
      <c r="D74" s="302"/>
      <c r="E74" s="302"/>
      <c r="F74" s="203" t="s">
        <v>5971</v>
      </c>
      <c r="G74" s="202" t="s">
        <v>2461</v>
      </c>
      <c r="H74" s="302" t="s">
        <v>2498</v>
      </c>
      <c r="I74" s="302"/>
      <c r="J74" s="302"/>
      <c r="K74" s="202"/>
      <c r="L74" s="204" t="s">
        <v>2465</v>
      </c>
      <c r="M74" s="205" t="s">
        <v>4092</v>
      </c>
      <c r="N74" s="310" t="s">
        <v>2543</v>
      </c>
      <c r="O74" s="302" t="s">
        <v>256</v>
      </c>
      <c r="P74" s="302"/>
      <c r="Q74" s="302"/>
      <c r="R74" s="302"/>
      <c r="S74" s="302"/>
      <c r="T74" s="302"/>
      <c r="U74" s="302"/>
      <c r="V74" s="302"/>
      <c r="W74" s="302"/>
      <c r="X74" s="177" t="s">
        <v>2959</v>
      </c>
    </row>
    <row r="75" spans="1:24" ht="16.95" customHeight="1">
      <c r="A75" s="190" t="s">
        <v>2012</v>
      </c>
      <c r="B75" s="299">
        <v>1</v>
      </c>
      <c r="C75" s="299" t="s">
        <v>2429</v>
      </c>
      <c r="D75" s="299"/>
      <c r="E75" s="299" t="s">
        <v>4531</v>
      </c>
      <c r="F75" s="191" t="s">
        <v>6007</v>
      </c>
      <c r="G75" s="190" t="s">
        <v>2475</v>
      </c>
      <c r="H75" s="299" t="s">
        <v>2498</v>
      </c>
      <c r="I75" s="299" t="s">
        <v>2500</v>
      </c>
      <c r="J75" s="299"/>
      <c r="K75" s="190"/>
      <c r="L75" s="192" t="s">
        <v>2964</v>
      </c>
      <c r="M75" s="193" t="s">
        <v>4093</v>
      </c>
      <c r="N75" s="307" t="s">
        <v>2545</v>
      </c>
      <c r="O75" s="299"/>
      <c r="P75" s="299"/>
      <c r="Q75" s="299"/>
      <c r="R75" s="299" t="s">
        <v>256</v>
      </c>
      <c r="S75" s="299"/>
      <c r="T75" s="299"/>
      <c r="U75" s="299"/>
      <c r="V75" s="299"/>
      <c r="W75" s="299"/>
      <c r="X75" s="177" t="s">
        <v>2959</v>
      </c>
    </row>
    <row r="76" spans="1:24" ht="16.95" customHeight="1">
      <c r="A76" s="190" t="s">
        <v>3008</v>
      </c>
      <c r="B76" s="299">
        <v>1</v>
      </c>
      <c r="C76" s="299" t="s">
        <v>2429</v>
      </c>
      <c r="D76" s="299"/>
      <c r="E76" s="299"/>
      <c r="F76" s="191" t="s">
        <v>5971</v>
      </c>
      <c r="G76" s="190" t="s">
        <v>2479</v>
      </c>
      <c r="H76" s="299" t="s">
        <v>2498</v>
      </c>
      <c r="I76" s="299" t="s">
        <v>2500</v>
      </c>
      <c r="J76" s="299"/>
      <c r="K76" s="190"/>
      <c r="L76" s="192" t="s">
        <v>2465</v>
      </c>
      <c r="M76" s="193" t="s">
        <v>4094</v>
      </c>
      <c r="N76" s="307" t="s">
        <v>2503</v>
      </c>
      <c r="O76" s="299" t="s">
        <v>256</v>
      </c>
      <c r="P76" s="299"/>
      <c r="Q76" s="299" t="s">
        <v>256</v>
      </c>
      <c r="R76" s="299"/>
      <c r="S76" s="299"/>
      <c r="T76" s="299" t="s">
        <v>256</v>
      </c>
      <c r="U76" s="299"/>
      <c r="V76" s="299" t="s">
        <v>256</v>
      </c>
      <c r="W76" s="299"/>
      <c r="X76" s="177" t="s">
        <v>2963</v>
      </c>
    </row>
    <row r="77" spans="1:24" ht="16.95" customHeight="1">
      <c r="A77" s="182" t="s">
        <v>1998</v>
      </c>
      <c r="B77" s="297">
        <v>1</v>
      </c>
      <c r="C77" s="297" t="s">
        <v>2443</v>
      </c>
      <c r="D77" s="297"/>
      <c r="E77" s="297" t="s">
        <v>4531</v>
      </c>
      <c r="F77" s="183" t="s">
        <v>6007</v>
      </c>
      <c r="G77" s="182" t="s">
        <v>2475</v>
      </c>
      <c r="H77" s="297" t="s">
        <v>2498</v>
      </c>
      <c r="I77" s="297"/>
      <c r="J77" s="297"/>
      <c r="K77" s="182"/>
      <c r="L77" s="184" t="s">
        <v>2964</v>
      </c>
      <c r="M77" s="185" t="s">
        <v>4095</v>
      </c>
      <c r="N77" s="305" t="s">
        <v>2511</v>
      </c>
      <c r="O77" s="297"/>
      <c r="P77" s="297"/>
      <c r="Q77" s="297"/>
      <c r="R77" s="297"/>
      <c r="S77" s="297" t="s">
        <v>256</v>
      </c>
      <c r="T77" s="297"/>
      <c r="U77" s="297"/>
      <c r="V77" s="297"/>
      <c r="W77" s="297"/>
      <c r="X77" s="177" t="s">
        <v>2959</v>
      </c>
    </row>
    <row r="78" spans="1:24" ht="16.95" customHeight="1">
      <c r="A78" s="182" t="s">
        <v>2179</v>
      </c>
      <c r="B78" s="297">
        <v>1</v>
      </c>
      <c r="C78" s="297" t="s">
        <v>2443</v>
      </c>
      <c r="D78" s="297"/>
      <c r="E78" s="297" t="s">
        <v>4531</v>
      </c>
      <c r="F78" s="183" t="s">
        <v>5971</v>
      </c>
      <c r="G78" s="182" t="s">
        <v>2463</v>
      </c>
      <c r="H78" s="297" t="s">
        <v>2498</v>
      </c>
      <c r="I78" s="297" t="s">
        <v>2500</v>
      </c>
      <c r="J78" s="297"/>
      <c r="K78" s="182"/>
      <c r="L78" s="184" t="s">
        <v>2964</v>
      </c>
      <c r="M78" s="185" t="s">
        <v>4096</v>
      </c>
      <c r="N78" s="305" t="s">
        <v>2564</v>
      </c>
      <c r="O78" s="297"/>
      <c r="P78" s="297"/>
      <c r="Q78" s="297" t="s">
        <v>256</v>
      </c>
      <c r="R78" s="297"/>
      <c r="S78" s="297" t="s">
        <v>3078</v>
      </c>
      <c r="T78" s="297"/>
      <c r="U78" s="297"/>
      <c r="V78" s="297"/>
      <c r="W78" s="297"/>
      <c r="X78" s="177" t="s">
        <v>2959</v>
      </c>
    </row>
    <row r="79" spans="1:24" ht="16.95" customHeight="1">
      <c r="A79" s="198" t="s">
        <v>3009</v>
      </c>
      <c r="B79" s="301">
        <v>1</v>
      </c>
      <c r="C79" s="301" t="s">
        <v>2425</v>
      </c>
      <c r="D79" s="301"/>
      <c r="E79" s="301" t="s">
        <v>256</v>
      </c>
      <c r="F79" s="199" t="s">
        <v>6007</v>
      </c>
      <c r="G79" s="198" t="s">
        <v>2475</v>
      </c>
      <c r="H79" s="301" t="s">
        <v>2498</v>
      </c>
      <c r="I79" s="301" t="s">
        <v>2500</v>
      </c>
      <c r="J79" s="301"/>
      <c r="K79" s="198"/>
      <c r="L79" s="200" t="s">
        <v>2998</v>
      </c>
      <c r="M79" s="201" t="s">
        <v>4097</v>
      </c>
      <c r="N79" s="309" t="s">
        <v>2517</v>
      </c>
      <c r="O79" s="301"/>
      <c r="P79" s="301"/>
      <c r="Q79" s="301"/>
      <c r="R79" s="301"/>
      <c r="S79" s="301"/>
      <c r="T79" s="301" t="s">
        <v>256</v>
      </c>
      <c r="U79" s="301" t="s">
        <v>256</v>
      </c>
      <c r="V79" s="301" t="s">
        <v>256</v>
      </c>
      <c r="W79" s="301" t="s">
        <v>256</v>
      </c>
      <c r="X79" s="177" t="s">
        <v>2959</v>
      </c>
    </row>
    <row r="80" spans="1:24" ht="16.95" customHeight="1">
      <c r="A80" s="190" t="s">
        <v>2113</v>
      </c>
      <c r="B80" s="299">
        <v>1</v>
      </c>
      <c r="C80" s="299" t="s">
        <v>2429</v>
      </c>
      <c r="D80" s="299"/>
      <c r="E80" s="299" t="s">
        <v>4531</v>
      </c>
      <c r="F80" s="191" t="s">
        <v>5971</v>
      </c>
      <c r="G80" s="190" t="s">
        <v>2461</v>
      </c>
      <c r="H80" s="299" t="s">
        <v>2498</v>
      </c>
      <c r="I80" s="299"/>
      <c r="J80" s="299"/>
      <c r="K80" s="190"/>
      <c r="L80" s="192" t="s">
        <v>2964</v>
      </c>
      <c r="M80" s="193" t="s">
        <v>4098</v>
      </c>
      <c r="N80" s="307" t="s">
        <v>2542</v>
      </c>
      <c r="O80" s="299" t="s">
        <v>256</v>
      </c>
      <c r="P80" s="299"/>
      <c r="Q80" s="299" t="s">
        <v>256</v>
      </c>
      <c r="R80" s="299"/>
      <c r="S80" s="299"/>
      <c r="T80" s="299"/>
      <c r="U80" s="299"/>
      <c r="V80" s="299"/>
      <c r="W80" s="299" t="s">
        <v>256</v>
      </c>
      <c r="X80" s="177" t="s">
        <v>2959</v>
      </c>
    </row>
    <row r="81" spans="1:24" ht="16.95" customHeight="1">
      <c r="A81" s="194" t="s">
        <v>2157</v>
      </c>
      <c r="B81" s="300">
        <v>1</v>
      </c>
      <c r="C81" s="300" t="s">
        <v>2437</v>
      </c>
      <c r="D81" s="300"/>
      <c r="E81" s="300"/>
      <c r="F81" s="195" t="s">
        <v>5971</v>
      </c>
      <c r="G81" s="194" t="s">
        <v>2475</v>
      </c>
      <c r="H81" s="300" t="s">
        <v>2498</v>
      </c>
      <c r="I81" s="300" t="s">
        <v>2500</v>
      </c>
      <c r="J81" s="300" t="s">
        <v>2960</v>
      </c>
      <c r="K81" s="194" t="s">
        <v>3010</v>
      </c>
      <c r="L81" s="196" t="s">
        <v>2434</v>
      </c>
      <c r="M81" s="197" t="s">
        <v>4099</v>
      </c>
      <c r="N81" s="308" t="s">
        <v>2521</v>
      </c>
      <c r="O81" s="300"/>
      <c r="P81" s="300"/>
      <c r="Q81" s="300"/>
      <c r="R81" s="300"/>
      <c r="S81" s="300"/>
      <c r="T81" s="300" t="s">
        <v>256</v>
      </c>
      <c r="U81" s="300"/>
      <c r="V81" s="300" t="s">
        <v>256</v>
      </c>
      <c r="W81" s="300" t="s">
        <v>256</v>
      </c>
      <c r="X81" s="177" t="s">
        <v>2959</v>
      </c>
    </row>
    <row r="82" spans="1:24" ht="16.95" customHeight="1">
      <c r="A82" s="198" t="s">
        <v>2063</v>
      </c>
      <c r="B82" s="301">
        <v>1</v>
      </c>
      <c r="C82" s="301" t="s">
        <v>2425</v>
      </c>
      <c r="D82" s="301"/>
      <c r="E82" s="301"/>
      <c r="F82" s="199" t="s">
        <v>6058</v>
      </c>
      <c r="G82" s="198" t="s">
        <v>2461</v>
      </c>
      <c r="H82" s="301" t="s">
        <v>2498</v>
      </c>
      <c r="I82" s="301"/>
      <c r="J82" s="301" t="s">
        <v>2960</v>
      </c>
      <c r="K82" s="198" t="s">
        <v>3011</v>
      </c>
      <c r="L82" s="200" t="s">
        <v>2438</v>
      </c>
      <c r="M82" s="201" t="s">
        <v>4100</v>
      </c>
      <c r="N82" s="309" t="s">
        <v>2529</v>
      </c>
      <c r="O82" s="301" t="s">
        <v>256</v>
      </c>
      <c r="P82" s="301"/>
      <c r="Q82" s="301"/>
      <c r="R82" s="301"/>
      <c r="S82" s="301"/>
      <c r="T82" s="301" t="s">
        <v>256</v>
      </c>
      <c r="U82" s="301"/>
      <c r="V82" s="301" t="s">
        <v>256</v>
      </c>
      <c r="W82" s="301" t="s">
        <v>256</v>
      </c>
      <c r="X82" s="177" t="s">
        <v>2959</v>
      </c>
    </row>
    <row r="83" spans="1:24" ht="16.95" customHeight="1">
      <c r="A83" s="182" t="s">
        <v>5938</v>
      </c>
      <c r="B83" s="297">
        <v>1</v>
      </c>
      <c r="C83" s="297" t="s">
        <v>4554</v>
      </c>
      <c r="D83" s="297" t="s">
        <v>256</v>
      </c>
      <c r="E83" s="297"/>
      <c r="F83" s="183" t="s">
        <v>2434</v>
      </c>
      <c r="G83" s="182" t="s">
        <v>2431</v>
      </c>
      <c r="H83" s="297" t="s">
        <v>2498</v>
      </c>
      <c r="I83" s="297" t="s">
        <v>2500</v>
      </c>
      <c r="J83" s="297" t="s">
        <v>2960</v>
      </c>
      <c r="K83" s="182" t="s">
        <v>3012</v>
      </c>
      <c r="L83" s="184" t="s">
        <v>2465</v>
      </c>
      <c r="M83" s="185" t="s">
        <v>4101</v>
      </c>
      <c r="N83" s="305" t="s">
        <v>2559</v>
      </c>
      <c r="O83" s="297"/>
      <c r="P83" s="297"/>
      <c r="Q83" s="297"/>
      <c r="R83" s="297"/>
      <c r="S83" s="297"/>
      <c r="T83" s="297"/>
      <c r="U83" s="297"/>
      <c r="V83" s="297" t="s">
        <v>256</v>
      </c>
      <c r="W83" s="297"/>
      <c r="X83" s="177" t="s">
        <v>2959</v>
      </c>
    </row>
    <row r="84" spans="1:24" ht="16.95" customHeight="1">
      <c r="A84" s="182" t="s">
        <v>2050</v>
      </c>
      <c r="B84" s="297">
        <v>1</v>
      </c>
      <c r="C84" s="297" t="s">
        <v>2443</v>
      </c>
      <c r="D84" s="297"/>
      <c r="E84" s="297" t="s">
        <v>4531</v>
      </c>
      <c r="F84" s="183" t="s">
        <v>5971</v>
      </c>
      <c r="G84" s="182" t="s">
        <v>2435</v>
      </c>
      <c r="H84" s="297" t="s">
        <v>2498</v>
      </c>
      <c r="I84" s="297" t="s">
        <v>2500</v>
      </c>
      <c r="J84" s="297"/>
      <c r="K84" s="182"/>
      <c r="L84" s="184" t="s">
        <v>3013</v>
      </c>
      <c r="M84" s="185" t="s">
        <v>4102</v>
      </c>
      <c r="N84" s="305" t="s">
        <v>2561</v>
      </c>
      <c r="O84" s="297"/>
      <c r="P84" s="297"/>
      <c r="Q84" s="297" t="s">
        <v>256</v>
      </c>
      <c r="R84" s="297"/>
      <c r="S84" s="297" t="s">
        <v>256</v>
      </c>
      <c r="T84" s="297" t="s">
        <v>256</v>
      </c>
      <c r="U84" s="297"/>
      <c r="V84" s="297" t="s">
        <v>256</v>
      </c>
      <c r="W84" s="297"/>
      <c r="X84" s="177" t="s">
        <v>2959</v>
      </c>
    </row>
    <row r="85" spans="1:24" ht="16.95" customHeight="1">
      <c r="A85" s="206" t="s">
        <v>3014</v>
      </c>
      <c r="B85" s="303">
        <v>1</v>
      </c>
      <c r="C85" s="303" t="s">
        <v>2440</v>
      </c>
      <c r="D85" s="303"/>
      <c r="E85" s="303"/>
      <c r="F85" s="207" t="s">
        <v>2438</v>
      </c>
      <c r="G85" s="206" t="s">
        <v>2467</v>
      </c>
      <c r="H85" s="303" t="s">
        <v>2498</v>
      </c>
      <c r="I85" s="303" t="s">
        <v>2500</v>
      </c>
      <c r="J85" s="303"/>
      <c r="K85" s="206"/>
      <c r="L85" s="208" t="s">
        <v>2444</v>
      </c>
      <c r="M85" s="209" t="s">
        <v>4103</v>
      </c>
      <c r="N85" s="311" t="s">
        <v>3015</v>
      </c>
      <c r="O85" s="303"/>
      <c r="P85" s="303"/>
      <c r="Q85" s="303"/>
      <c r="R85" s="303"/>
      <c r="S85" s="303"/>
      <c r="T85" s="303"/>
      <c r="U85" s="303"/>
      <c r="V85" s="303" t="s">
        <v>256</v>
      </c>
      <c r="W85" s="303"/>
      <c r="X85" s="177" t="s">
        <v>2979</v>
      </c>
    </row>
    <row r="86" spans="1:24" ht="16.95" customHeight="1">
      <c r="A86" s="198" t="s">
        <v>2061</v>
      </c>
      <c r="B86" s="301">
        <v>1</v>
      </c>
      <c r="C86" s="301" t="s">
        <v>2425</v>
      </c>
      <c r="D86" s="301"/>
      <c r="E86" s="301"/>
      <c r="F86" s="199" t="s">
        <v>5971</v>
      </c>
      <c r="G86" s="198" t="s">
        <v>2467</v>
      </c>
      <c r="H86" s="301" t="s">
        <v>2498</v>
      </c>
      <c r="I86" s="301" t="s">
        <v>2500</v>
      </c>
      <c r="J86" s="301" t="s">
        <v>2960</v>
      </c>
      <c r="K86" s="198" t="s">
        <v>3016</v>
      </c>
      <c r="L86" s="200" t="s">
        <v>2465</v>
      </c>
      <c r="M86" s="201" t="s">
        <v>4104</v>
      </c>
      <c r="N86" s="309" t="s">
        <v>2563</v>
      </c>
      <c r="O86" s="301"/>
      <c r="P86" s="301"/>
      <c r="Q86" s="301" t="s">
        <v>256</v>
      </c>
      <c r="R86" s="301"/>
      <c r="S86" s="301" t="s">
        <v>256</v>
      </c>
      <c r="T86" s="301"/>
      <c r="U86" s="301"/>
      <c r="V86" s="301"/>
      <c r="W86" s="301"/>
      <c r="X86" s="177" t="s">
        <v>2959</v>
      </c>
    </row>
    <row r="87" spans="1:24" ht="16.95" customHeight="1">
      <c r="A87" s="182" t="s">
        <v>2222</v>
      </c>
      <c r="B87" s="297">
        <v>1</v>
      </c>
      <c r="C87" s="297" t="s">
        <v>2443</v>
      </c>
      <c r="D87" s="297"/>
      <c r="E87" s="297"/>
      <c r="F87" s="183" t="s">
        <v>5971</v>
      </c>
      <c r="G87" s="182" t="s">
        <v>2461</v>
      </c>
      <c r="H87" s="297" t="s">
        <v>2498</v>
      </c>
      <c r="I87" s="297" t="s">
        <v>2500</v>
      </c>
      <c r="J87" s="297" t="s">
        <v>2960</v>
      </c>
      <c r="K87" s="182" t="s">
        <v>3017</v>
      </c>
      <c r="L87" s="184" t="s">
        <v>2438</v>
      </c>
      <c r="M87" s="185" t="s">
        <v>4105</v>
      </c>
      <c r="N87" s="305" t="s">
        <v>2560</v>
      </c>
      <c r="O87" s="297"/>
      <c r="P87" s="297"/>
      <c r="Q87" s="297"/>
      <c r="R87" s="297"/>
      <c r="S87" s="297"/>
      <c r="T87" s="297" t="s">
        <v>3078</v>
      </c>
      <c r="U87" s="297"/>
      <c r="V87" s="297" t="s">
        <v>256</v>
      </c>
      <c r="W87" s="297" t="s">
        <v>256</v>
      </c>
      <c r="X87" s="177" t="s">
        <v>2959</v>
      </c>
    </row>
    <row r="88" spans="1:24" ht="16.95" customHeight="1">
      <c r="A88" s="190" t="s">
        <v>3018</v>
      </c>
      <c r="B88" s="299">
        <v>1</v>
      </c>
      <c r="C88" s="299" t="s">
        <v>2429</v>
      </c>
      <c r="D88" s="299"/>
      <c r="E88" s="299"/>
      <c r="F88" s="191" t="s">
        <v>5971</v>
      </c>
      <c r="G88" s="190" t="s">
        <v>2435</v>
      </c>
      <c r="H88" s="299" t="s">
        <v>2498</v>
      </c>
      <c r="I88" s="299" t="s">
        <v>2500</v>
      </c>
      <c r="J88" s="299"/>
      <c r="K88" s="190"/>
      <c r="L88" s="192" t="s">
        <v>2442</v>
      </c>
      <c r="M88" s="193" t="s">
        <v>4106</v>
      </c>
      <c r="N88" s="307" t="s">
        <v>2557</v>
      </c>
      <c r="O88" s="299"/>
      <c r="P88" s="299" t="s">
        <v>256</v>
      </c>
      <c r="Q88" s="299"/>
      <c r="R88" s="299"/>
      <c r="S88" s="299"/>
      <c r="T88" s="299"/>
      <c r="U88" s="299"/>
      <c r="V88" s="299"/>
      <c r="W88" s="299"/>
      <c r="X88" s="177" t="s">
        <v>2959</v>
      </c>
    </row>
    <row r="89" spans="1:24" ht="16.95" customHeight="1">
      <c r="A89" s="182" t="s">
        <v>2003</v>
      </c>
      <c r="B89" s="297">
        <v>1</v>
      </c>
      <c r="C89" s="297" t="s">
        <v>2443</v>
      </c>
      <c r="D89" s="297"/>
      <c r="E89" s="297" t="s">
        <v>4531</v>
      </c>
      <c r="F89" s="183" t="s">
        <v>6007</v>
      </c>
      <c r="G89" s="182" t="s">
        <v>2475</v>
      </c>
      <c r="H89" s="297" t="s">
        <v>2498</v>
      </c>
      <c r="I89" s="297"/>
      <c r="J89" s="297"/>
      <c r="K89" s="182"/>
      <c r="L89" s="184" t="s">
        <v>2964</v>
      </c>
      <c r="M89" s="185" t="s">
        <v>4107</v>
      </c>
      <c r="N89" s="305" t="s">
        <v>2512</v>
      </c>
      <c r="O89" s="297"/>
      <c r="P89" s="297"/>
      <c r="Q89" s="297"/>
      <c r="R89" s="297"/>
      <c r="S89" s="297" t="s">
        <v>256</v>
      </c>
      <c r="T89" s="297"/>
      <c r="U89" s="297"/>
      <c r="V89" s="297"/>
      <c r="W89" s="297"/>
      <c r="X89" s="177" t="s">
        <v>2959</v>
      </c>
    </row>
    <row r="90" spans="1:24" ht="16.95" customHeight="1">
      <c r="A90" s="190" t="s">
        <v>2039</v>
      </c>
      <c r="B90" s="299">
        <v>1</v>
      </c>
      <c r="C90" s="299" t="s">
        <v>2429</v>
      </c>
      <c r="D90" s="299"/>
      <c r="E90" s="299"/>
      <c r="F90" s="191" t="s">
        <v>6007</v>
      </c>
      <c r="G90" s="190" t="s">
        <v>2461</v>
      </c>
      <c r="H90" s="299" t="s">
        <v>2498</v>
      </c>
      <c r="I90" s="299"/>
      <c r="J90" s="299"/>
      <c r="K90" s="190"/>
      <c r="L90" s="192" t="s">
        <v>2465</v>
      </c>
      <c r="M90" s="193" t="s">
        <v>4108</v>
      </c>
      <c r="N90" s="307" t="s">
        <v>2535</v>
      </c>
      <c r="O90" s="299" t="s">
        <v>256</v>
      </c>
      <c r="P90" s="299" t="s">
        <v>256</v>
      </c>
      <c r="Q90" s="299" t="s">
        <v>256</v>
      </c>
      <c r="R90" s="299"/>
      <c r="S90" s="299"/>
      <c r="T90" s="299"/>
      <c r="U90" s="299"/>
      <c r="V90" s="299"/>
      <c r="W90" s="299"/>
      <c r="X90" s="177" t="s">
        <v>2959</v>
      </c>
    </row>
    <row r="91" spans="1:24" ht="16.95" customHeight="1">
      <c r="A91" s="190" t="s">
        <v>2085</v>
      </c>
      <c r="B91" s="299">
        <v>1</v>
      </c>
      <c r="C91" s="299" t="s">
        <v>2429</v>
      </c>
      <c r="D91" s="299"/>
      <c r="E91" s="299"/>
      <c r="F91" s="191" t="s">
        <v>6059</v>
      </c>
      <c r="G91" s="190" t="s">
        <v>2461</v>
      </c>
      <c r="H91" s="299" t="s">
        <v>2498</v>
      </c>
      <c r="I91" s="299" t="s">
        <v>2500</v>
      </c>
      <c r="J91" s="299"/>
      <c r="K91" s="190"/>
      <c r="L91" s="192" t="s">
        <v>2465</v>
      </c>
      <c r="M91" s="193" t="s">
        <v>4109</v>
      </c>
      <c r="N91" s="307" t="s">
        <v>2515</v>
      </c>
      <c r="O91" s="299"/>
      <c r="P91" s="299"/>
      <c r="Q91" s="299"/>
      <c r="R91" s="299"/>
      <c r="S91" s="299"/>
      <c r="T91" s="299"/>
      <c r="U91" s="299" t="s">
        <v>256</v>
      </c>
      <c r="V91" s="299"/>
      <c r="W91" s="299"/>
      <c r="X91" s="177" t="s">
        <v>2959</v>
      </c>
    </row>
    <row r="92" spans="1:24" ht="16.95" customHeight="1">
      <c r="A92" s="202" t="s">
        <v>1994</v>
      </c>
      <c r="B92" s="302">
        <v>1</v>
      </c>
      <c r="C92" s="302" t="s">
        <v>2967</v>
      </c>
      <c r="D92" s="302"/>
      <c r="E92" s="302" t="s">
        <v>4531</v>
      </c>
      <c r="F92" s="203" t="s">
        <v>5971</v>
      </c>
      <c r="G92" s="202" t="s">
        <v>2467</v>
      </c>
      <c r="H92" s="302" t="s">
        <v>2498</v>
      </c>
      <c r="I92" s="302" t="s">
        <v>2500</v>
      </c>
      <c r="J92" s="302"/>
      <c r="K92" s="202"/>
      <c r="L92" s="204" t="s">
        <v>2964</v>
      </c>
      <c r="M92" s="205" t="s">
        <v>4110</v>
      </c>
      <c r="N92" s="310" t="s">
        <v>2532</v>
      </c>
      <c r="O92" s="302" t="s">
        <v>256</v>
      </c>
      <c r="P92" s="302"/>
      <c r="Q92" s="302"/>
      <c r="R92" s="302" t="s">
        <v>256</v>
      </c>
      <c r="S92" s="302"/>
      <c r="T92" s="302"/>
      <c r="U92" s="302"/>
      <c r="V92" s="302"/>
      <c r="W92" s="302"/>
      <c r="X92" s="177" t="s">
        <v>2959</v>
      </c>
    </row>
    <row r="93" spans="1:24" ht="16.95" customHeight="1">
      <c r="A93" s="202" t="s">
        <v>2088</v>
      </c>
      <c r="B93" s="302">
        <v>1</v>
      </c>
      <c r="C93" s="302" t="s">
        <v>2967</v>
      </c>
      <c r="D93" s="302"/>
      <c r="E93" s="302" t="s">
        <v>4531</v>
      </c>
      <c r="F93" s="203" t="s">
        <v>6007</v>
      </c>
      <c r="G93" s="202" t="s">
        <v>2463</v>
      </c>
      <c r="H93" s="302" t="s">
        <v>2498</v>
      </c>
      <c r="I93" s="302" t="s">
        <v>2500</v>
      </c>
      <c r="J93" s="302" t="s">
        <v>2960</v>
      </c>
      <c r="K93" s="202" t="s">
        <v>3019</v>
      </c>
      <c r="L93" s="204" t="s">
        <v>3013</v>
      </c>
      <c r="M93" s="205" t="s">
        <v>4111</v>
      </c>
      <c r="N93" s="310" t="s">
        <v>2516</v>
      </c>
      <c r="O93" s="302"/>
      <c r="P93" s="302"/>
      <c r="Q93" s="302"/>
      <c r="R93" s="302"/>
      <c r="S93" s="302"/>
      <c r="T93" s="302"/>
      <c r="U93" s="302" t="s">
        <v>256</v>
      </c>
      <c r="V93" s="302"/>
      <c r="W93" s="302"/>
      <c r="X93" s="177" t="s">
        <v>2959</v>
      </c>
    </row>
    <row r="94" spans="1:24" ht="16.95" customHeight="1">
      <c r="A94" s="206" t="s">
        <v>2007</v>
      </c>
      <c r="B94" s="303">
        <v>1</v>
      </c>
      <c r="C94" s="303" t="s">
        <v>2440</v>
      </c>
      <c r="D94" s="303"/>
      <c r="E94" s="303" t="s">
        <v>4531</v>
      </c>
      <c r="F94" s="207" t="s">
        <v>6007</v>
      </c>
      <c r="G94" s="206" t="s">
        <v>2463</v>
      </c>
      <c r="H94" s="303" t="s">
        <v>2498</v>
      </c>
      <c r="I94" s="303"/>
      <c r="J94" s="303"/>
      <c r="K94" s="206"/>
      <c r="L94" s="208" t="s">
        <v>3013</v>
      </c>
      <c r="M94" s="209" t="s">
        <v>4112</v>
      </c>
      <c r="N94" s="311" t="s">
        <v>3020</v>
      </c>
      <c r="O94" s="303"/>
      <c r="P94" s="303"/>
      <c r="Q94" s="303"/>
      <c r="R94" s="303"/>
      <c r="S94" s="303" t="s">
        <v>256</v>
      </c>
      <c r="T94" s="303"/>
      <c r="U94" s="303"/>
      <c r="V94" s="303"/>
      <c r="W94" s="303"/>
      <c r="X94" s="177" t="s">
        <v>2959</v>
      </c>
    </row>
    <row r="95" spans="1:24" ht="16.95" customHeight="1">
      <c r="A95" s="182" t="s">
        <v>2152</v>
      </c>
      <c r="B95" s="297">
        <v>1</v>
      </c>
      <c r="C95" s="297" t="s">
        <v>2443</v>
      </c>
      <c r="D95" s="297"/>
      <c r="E95" s="297"/>
      <c r="F95" s="183" t="s">
        <v>5971</v>
      </c>
      <c r="G95" s="182" t="s">
        <v>2461</v>
      </c>
      <c r="H95" s="297"/>
      <c r="I95" s="297" t="s">
        <v>2500</v>
      </c>
      <c r="J95" s="297" t="s">
        <v>2960</v>
      </c>
      <c r="K95" s="182" t="s">
        <v>3021</v>
      </c>
      <c r="L95" s="184" t="s">
        <v>2465</v>
      </c>
      <c r="M95" s="185" t="s">
        <v>4113</v>
      </c>
      <c r="N95" s="305" t="s">
        <v>2509</v>
      </c>
      <c r="O95" s="297"/>
      <c r="P95" s="297"/>
      <c r="Q95" s="297" t="s">
        <v>256</v>
      </c>
      <c r="R95" s="297"/>
      <c r="S95" s="297"/>
      <c r="T95" s="297" t="s">
        <v>256</v>
      </c>
      <c r="U95" s="297"/>
      <c r="V95" s="297" t="s">
        <v>256</v>
      </c>
      <c r="W95" s="297"/>
      <c r="X95" s="177" t="s">
        <v>2963</v>
      </c>
    </row>
    <row r="96" spans="1:24" ht="16.95" customHeight="1">
      <c r="A96" s="206" t="s">
        <v>2090</v>
      </c>
      <c r="B96" s="303">
        <v>1</v>
      </c>
      <c r="C96" s="303" t="s">
        <v>4553</v>
      </c>
      <c r="D96" s="303" t="s">
        <v>256</v>
      </c>
      <c r="E96" s="303"/>
      <c r="F96" s="207" t="s">
        <v>2438</v>
      </c>
      <c r="G96" s="206" t="s">
        <v>2467</v>
      </c>
      <c r="H96" s="303" t="s">
        <v>2498</v>
      </c>
      <c r="I96" s="303" t="s">
        <v>2500</v>
      </c>
      <c r="J96" s="303" t="s">
        <v>2960</v>
      </c>
      <c r="K96" s="206" t="s">
        <v>3022</v>
      </c>
      <c r="L96" s="208" t="s">
        <v>2465</v>
      </c>
      <c r="M96" s="209" t="s">
        <v>4114</v>
      </c>
      <c r="N96" s="311" t="s">
        <v>3023</v>
      </c>
      <c r="O96" s="303" t="s">
        <v>256</v>
      </c>
      <c r="P96" s="303"/>
      <c r="Q96" s="303"/>
      <c r="R96" s="303"/>
      <c r="S96" s="303"/>
      <c r="T96" s="303"/>
      <c r="U96" s="303"/>
      <c r="V96" s="303" t="s">
        <v>256</v>
      </c>
      <c r="W96" s="303" t="s">
        <v>256</v>
      </c>
      <c r="X96" s="177" t="s">
        <v>2959</v>
      </c>
    </row>
    <row r="97" spans="1:24" ht="16.95" customHeight="1">
      <c r="A97" s="210" t="s">
        <v>2052</v>
      </c>
      <c r="B97" s="304">
        <v>1</v>
      </c>
      <c r="C97" s="304" t="s">
        <v>4555</v>
      </c>
      <c r="D97" s="304" t="s">
        <v>256</v>
      </c>
      <c r="E97" s="304"/>
      <c r="F97" s="211" t="s">
        <v>2438</v>
      </c>
      <c r="G97" s="210" t="s">
        <v>2467</v>
      </c>
      <c r="H97" s="304"/>
      <c r="I97" s="304" t="s">
        <v>2500</v>
      </c>
      <c r="J97" s="304" t="s">
        <v>2960</v>
      </c>
      <c r="K97" s="210" t="s">
        <v>3024</v>
      </c>
      <c r="L97" s="212" t="s">
        <v>2432</v>
      </c>
      <c r="M97" s="213" t="s">
        <v>4115</v>
      </c>
      <c r="N97" s="312" t="s">
        <v>2526</v>
      </c>
      <c r="O97" s="304" t="s">
        <v>256</v>
      </c>
      <c r="P97" s="304"/>
      <c r="Q97" s="304"/>
      <c r="R97" s="304"/>
      <c r="S97" s="304"/>
      <c r="T97" s="304"/>
      <c r="U97" s="304" t="s">
        <v>256</v>
      </c>
      <c r="V97" s="304" t="s">
        <v>256</v>
      </c>
      <c r="W97" s="304"/>
      <c r="X97" s="177" t="s">
        <v>2959</v>
      </c>
    </row>
    <row r="98" spans="1:24" ht="16.95" customHeight="1">
      <c r="A98" s="194" t="s">
        <v>2074</v>
      </c>
      <c r="B98" s="300">
        <v>1</v>
      </c>
      <c r="C98" s="300" t="s">
        <v>2437</v>
      </c>
      <c r="D98" s="300"/>
      <c r="E98" s="300"/>
      <c r="F98" s="195" t="s">
        <v>5971</v>
      </c>
      <c r="G98" s="194" t="s">
        <v>2467</v>
      </c>
      <c r="H98" s="300" t="s">
        <v>2498</v>
      </c>
      <c r="I98" s="300" t="s">
        <v>2500</v>
      </c>
      <c r="J98" s="300"/>
      <c r="K98" s="194"/>
      <c r="L98" s="196" t="s">
        <v>2465</v>
      </c>
      <c r="M98" s="197" t="s">
        <v>4116</v>
      </c>
      <c r="N98" s="308" t="s">
        <v>2558</v>
      </c>
      <c r="O98" s="300"/>
      <c r="P98" s="300" t="s">
        <v>256</v>
      </c>
      <c r="Q98" s="300"/>
      <c r="R98" s="300"/>
      <c r="S98" s="300"/>
      <c r="T98" s="300"/>
      <c r="U98" s="300"/>
      <c r="V98" s="300"/>
      <c r="W98" s="300"/>
      <c r="X98" s="177" t="s">
        <v>2959</v>
      </c>
    </row>
    <row r="99" spans="1:24" ht="16.95" customHeight="1">
      <c r="A99" s="198" t="s">
        <v>2053</v>
      </c>
      <c r="B99" s="301">
        <v>1</v>
      </c>
      <c r="C99" s="301" t="s">
        <v>2425</v>
      </c>
      <c r="D99" s="301"/>
      <c r="E99" s="301"/>
      <c r="F99" s="199" t="s">
        <v>5971</v>
      </c>
      <c r="G99" s="198" t="s">
        <v>2467</v>
      </c>
      <c r="H99" s="301" t="s">
        <v>2498</v>
      </c>
      <c r="I99" s="301" t="s">
        <v>2500</v>
      </c>
      <c r="J99" s="301" t="s">
        <v>2960</v>
      </c>
      <c r="K99" s="198" t="s">
        <v>3025</v>
      </c>
      <c r="L99" s="200" t="s">
        <v>2438</v>
      </c>
      <c r="M99" s="201" t="s">
        <v>4117</v>
      </c>
      <c r="N99" s="309" t="s">
        <v>2562</v>
      </c>
      <c r="O99" s="301"/>
      <c r="P99" s="301"/>
      <c r="Q99" s="301" t="s">
        <v>256</v>
      </c>
      <c r="R99" s="301"/>
      <c r="S99" s="301" t="s">
        <v>256</v>
      </c>
      <c r="T99" s="301" t="s">
        <v>256</v>
      </c>
      <c r="U99" s="301"/>
      <c r="V99" s="301" t="s">
        <v>256</v>
      </c>
      <c r="W99" s="301" t="s">
        <v>256</v>
      </c>
      <c r="X99" s="177" t="s">
        <v>2959</v>
      </c>
    </row>
    <row r="100" spans="1:24" ht="16.95" customHeight="1">
      <c r="A100" s="198" t="s">
        <v>2021</v>
      </c>
      <c r="B100" s="301">
        <v>1</v>
      </c>
      <c r="C100" s="301" t="s">
        <v>2425</v>
      </c>
      <c r="D100" s="301"/>
      <c r="E100" s="301"/>
      <c r="F100" s="199" t="s">
        <v>5971</v>
      </c>
      <c r="G100" s="198" t="s">
        <v>2467</v>
      </c>
      <c r="H100" s="301" t="s">
        <v>2498</v>
      </c>
      <c r="I100" s="301" t="s">
        <v>2500</v>
      </c>
      <c r="J100" s="301" t="s">
        <v>2960</v>
      </c>
      <c r="K100" s="198" t="s">
        <v>3026</v>
      </c>
      <c r="L100" s="200" t="s">
        <v>2434</v>
      </c>
      <c r="M100" s="201" t="s">
        <v>4118</v>
      </c>
      <c r="N100" s="309" t="s">
        <v>2537</v>
      </c>
      <c r="O100" s="301" t="s">
        <v>256</v>
      </c>
      <c r="P100" s="301"/>
      <c r="Q100" s="301" t="s">
        <v>256</v>
      </c>
      <c r="R100" s="301"/>
      <c r="S100" s="301" t="s">
        <v>256</v>
      </c>
      <c r="T100" s="301"/>
      <c r="U100" s="301"/>
      <c r="V100" s="301" t="s">
        <v>256</v>
      </c>
      <c r="W100" s="301" t="s">
        <v>256</v>
      </c>
      <c r="X100" s="177" t="s">
        <v>2959</v>
      </c>
    </row>
    <row r="101" spans="1:24" ht="16.95" customHeight="1">
      <c r="A101" s="186" t="s">
        <v>2162</v>
      </c>
      <c r="B101" s="298">
        <v>1</v>
      </c>
      <c r="C101" s="298" t="s">
        <v>2433</v>
      </c>
      <c r="D101" s="298"/>
      <c r="E101" s="298"/>
      <c r="F101" s="187" t="s">
        <v>5971</v>
      </c>
      <c r="G101" s="186" t="s">
        <v>2467</v>
      </c>
      <c r="H101" s="298" t="s">
        <v>2498</v>
      </c>
      <c r="I101" s="298" t="s">
        <v>2500</v>
      </c>
      <c r="J101" s="298" t="s">
        <v>2960</v>
      </c>
      <c r="K101" s="186" t="s">
        <v>3027</v>
      </c>
      <c r="L101" s="188" t="s">
        <v>2444</v>
      </c>
      <c r="M101" s="189" t="s">
        <v>4119</v>
      </c>
      <c r="N101" s="306" t="s">
        <v>2522</v>
      </c>
      <c r="O101" s="298"/>
      <c r="P101" s="298"/>
      <c r="Q101" s="298"/>
      <c r="R101" s="298"/>
      <c r="S101" s="298"/>
      <c r="T101" s="298" t="s">
        <v>256</v>
      </c>
      <c r="U101" s="298"/>
      <c r="V101" s="298" t="s">
        <v>256</v>
      </c>
      <c r="W101" s="298"/>
      <c r="X101" s="177" t="s">
        <v>2959</v>
      </c>
    </row>
    <row r="102" spans="1:24" ht="16.95" customHeight="1">
      <c r="A102" s="190" t="s">
        <v>2166</v>
      </c>
      <c r="B102" s="299">
        <v>1</v>
      </c>
      <c r="C102" s="299" t="s">
        <v>2429</v>
      </c>
      <c r="D102" s="299"/>
      <c r="E102" s="299"/>
      <c r="F102" s="191" t="s">
        <v>5971</v>
      </c>
      <c r="G102" s="190" t="s">
        <v>2435</v>
      </c>
      <c r="H102" s="299" t="s">
        <v>2498</v>
      </c>
      <c r="I102" s="299" t="s">
        <v>2500</v>
      </c>
      <c r="J102" s="299"/>
      <c r="K102" s="190"/>
      <c r="L102" s="192" t="s">
        <v>2465</v>
      </c>
      <c r="M102" s="193" t="s">
        <v>4120</v>
      </c>
      <c r="N102" s="307" t="s">
        <v>2523</v>
      </c>
      <c r="O102" s="299"/>
      <c r="P102" s="299"/>
      <c r="Q102" s="299"/>
      <c r="R102" s="299"/>
      <c r="S102" s="299"/>
      <c r="T102" s="299" t="s">
        <v>256</v>
      </c>
      <c r="U102" s="299"/>
      <c r="V102" s="299" t="s">
        <v>256</v>
      </c>
      <c r="W102" s="299"/>
      <c r="X102" s="177" t="s">
        <v>2959</v>
      </c>
    </row>
    <row r="103" spans="1:24" ht="16.95" customHeight="1">
      <c r="A103" s="198" t="s">
        <v>3028</v>
      </c>
      <c r="B103" s="301">
        <v>1</v>
      </c>
      <c r="C103" s="301" t="s">
        <v>2425</v>
      </c>
      <c r="D103" s="301"/>
      <c r="E103" s="301"/>
      <c r="F103" s="199" t="s">
        <v>5971</v>
      </c>
      <c r="G103" s="198" t="s">
        <v>2461</v>
      </c>
      <c r="H103" s="301" t="s">
        <v>2498</v>
      </c>
      <c r="I103" s="301" t="s">
        <v>2500</v>
      </c>
      <c r="J103" s="301"/>
      <c r="K103" s="198"/>
      <c r="L103" s="200" t="s">
        <v>2442</v>
      </c>
      <c r="M103" s="201" t="s">
        <v>4121</v>
      </c>
      <c r="N103" s="309" t="s">
        <v>3029</v>
      </c>
      <c r="O103" s="301"/>
      <c r="P103" s="301"/>
      <c r="Q103" s="301"/>
      <c r="R103" s="301"/>
      <c r="S103" s="301"/>
      <c r="T103" s="301"/>
      <c r="U103" s="301"/>
      <c r="V103" s="301" t="s">
        <v>256</v>
      </c>
      <c r="W103" s="301"/>
      <c r="X103" s="177" t="s">
        <v>2979</v>
      </c>
    </row>
    <row r="104" spans="1:24" ht="16.95" customHeight="1">
      <c r="A104" s="186" t="s">
        <v>2033</v>
      </c>
      <c r="B104" s="298">
        <v>1</v>
      </c>
      <c r="C104" s="298" t="s">
        <v>2433</v>
      </c>
      <c r="D104" s="298"/>
      <c r="E104" s="298" t="s">
        <v>4531</v>
      </c>
      <c r="F104" s="187" t="s">
        <v>5971</v>
      </c>
      <c r="G104" s="186" t="s">
        <v>2467</v>
      </c>
      <c r="H104" s="298" t="s">
        <v>2498</v>
      </c>
      <c r="I104" s="298" t="s">
        <v>2500</v>
      </c>
      <c r="J104" s="298" t="s">
        <v>2960</v>
      </c>
      <c r="K104" s="186" t="s">
        <v>3030</v>
      </c>
      <c r="L104" s="188" t="s">
        <v>2998</v>
      </c>
      <c r="M104" s="189" t="s">
        <v>4122</v>
      </c>
      <c r="N104" s="306" t="s">
        <v>2549</v>
      </c>
      <c r="O104" s="298"/>
      <c r="P104" s="298" t="s">
        <v>256</v>
      </c>
      <c r="Q104" s="298" t="s">
        <v>3078</v>
      </c>
      <c r="R104" s="298" t="s">
        <v>256</v>
      </c>
      <c r="S104" s="298"/>
      <c r="T104" s="298"/>
      <c r="U104" s="298" t="s">
        <v>256</v>
      </c>
      <c r="V104" s="298" t="s">
        <v>256</v>
      </c>
      <c r="W104" s="298"/>
      <c r="X104" s="177" t="s">
        <v>2959</v>
      </c>
    </row>
    <row r="105" spans="1:24" ht="16.95" customHeight="1">
      <c r="A105" s="198" t="s">
        <v>2054</v>
      </c>
      <c r="B105" s="301">
        <v>1</v>
      </c>
      <c r="C105" s="301" t="s">
        <v>4556</v>
      </c>
      <c r="D105" s="301" t="s">
        <v>256</v>
      </c>
      <c r="E105" s="301"/>
      <c r="F105" s="199" t="s">
        <v>5971</v>
      </c>
      <c r="G105" s="198" t="s">
        <v>2431</v>
      </c>
      <c r="H105" s="301" t="s">
        <v>2498</v>
      </c>
      <c r="I105" s="301" t="s">
        <v>2500</v>
      </c>
      <c r="J105" s="301"/>
      <c r="K105" s="198"/>
      <c r="L105" s="200" t="s">
        <v>2465</v>
      </c>
      <c r="M105" s="201" t="s">
        <v>4123</v>
      </c>
      <c r="N105" s="309" t="s">
        <v>2555</v>
      </c>
      <c r="O105" s="301"/>
      <c r="P105" s="301" t="s">
        <v>256</v>
      </c>
      <c r="Q105" s="301" t="s">
        <v>256</v>
      </c>
      <c r="R105" s="301" t="s">
        <v>256</v>
      </c>
      <c r="S105" s="301"/>
      <c r="T105" s="301"/>
      <c r="U105" s="301"/>
      <c r="V105" s="301"/>
      <c r="W105" s="301" t="s">
        <v>256</v>
      </c>
      <c r="X105" s="177" t="s">
        <v>2959</v>
      </c>
    </row>
    <row r="106" spans="1:24" ht="16.95" customHeight="1">
      <c r="A106" s="194" t="s">
        <v>2170</v>
      </c>
      <c r="B106" s="300">
        <v>1</v>
      </c>
      <c r="C106" s="300" t="s">
        <v>2437</v>
      </c>
      <c r="D106" s="300"/>
      <c r="E106" s="300"/>
      <c r="F106" s="195" t="s">
        <v>5971</v>
      </c>
      <c r="G106" s="194" t="s">
        <v>2461</v>
      </c>
      <c r="H106" s="300" t="s">
        <v>2498</v>
      </c>
      <c r="I106" s="300" t="s">
        <v>2500</v>
      </c>
      <c r="J106" s="300"/>
      <c r="K106" s="194"/>
      <c r="L106" s="196" t="s">
        <v>2465</v>
      </c>
      <c r="M106" s="197" t="s">
        <v>4124</v>
      </c>
      <c r="N106" s="308" t="s">
        <v>2524</v>
      </c>
      <c r="O106" s="300"/>
      <c r="P106" s="300"/>
      <c r="Q106" s="300"/>
      <c r="R106" s="300"/>
      <c r="S106" s="300"/>
      <c r="T106" s="300" t="s">
        <v>256</v>
      </c>
      <c r="U106" s="300"/>
      <c r="V106" s="300" t="s">
        <v>256</v>
      </c>
      <c r="W106" s="300"/>
      <c r="X106" s="177" t="s">
        <v>2959</v>
      </c>
    </row>
    <row r="107" spans="1:24" ht="16.95" customHeight="1">
      <c r="A107" s="186" t="s">
        <v>2079</v>
      </c>
      <c r="B107" s="298">
        <v>1</v>
      </c>
      <c r="C107" s="298" t="s">
        <v>2433</v>
      </c>
      <c r="D107" s="298"/>
      <c r="E107" s="298"/>
      <c r="F107" s="187" t="s">
        <v>6007</v>
      </c>
      <c r="G107" s="186" t="s">
        <v>2452</v>
      </c>
      <c r="H107" s="298" t="s">
        <v>2498</v>
      </c>
      <c r="I107" s="298" t="s">
        <v>2500</v>
      </c>
      <c r="J107" s="298" t="s">
        <v>2960</v>
      </c>
      <c r="K107" s="186" t="s">
        <v>3031</v>
      </c>
      <c r="L107" s="188" t="s">
        <v>2438</v>
      </c>
      <c r="M107" s="189" t="s">
        <v>4125</v>
      </c>
      <c r="N107" s="306" t="s">
        <v>3032</v>
      </c>
      <c r="O107" s="298"/>
      <c r="P107" s="298" t="s">
        <v>256</v>
      </c>
      <c r="Q107" s="298"/>
      <c r="R107" s="298"/>
      <c r="S107" s="298"/>
      <c r="T107" s="298"/>
      <c r="U107" s="298"/>
      <c r="V107" s="298"/>
      <c r="W107" s="298" t="s">
        <v>256</v>
      </c>
      <c r="X107" s="177" t="s">
        <v>2959</v>
      </c>
    </row>
    <row r="108" spans="1:24" ht="16.95" customHeight="1">
      <c r="A108" s="190" t="s">
        <v>2014</v>
      </c>
      <c r="B108" s="299">
        <v>1</v>
      </c>
      <c r="C108" s="299" t="s">
        <v>2429</v>
      </c>
      <c r="D108" s="299"/>
      <c r="E108" s="299" t="s">
        <v>4531</v>
      </c>
      <c r="F108" s="191" t="s">
        <v>6007</v>
      </c>
      <c r="G108" s="190" t="s">
        <v>2475</v>
      </c>
      <c r="H108" s="299" t="s">
        <v>2498</v>
      </c>
      <c r="I108" s="299"/>
      <c r="J108" s="299"/>
      <c r="K108" s="190"/>
      <c r="L108" s="192" t="s">
        <v>2964</v>
      </c>
      <c r="M108" s="193" t="s">
        <v>4126</v>
      </c>
      <c r="N108" s="307" t="s">
        <v>2546</v>
      </c>
      <c r="O108" s="299"/>
      <c r="P108" s="299"/>
      <c r="Q108" s="299"/>
      <c r="R108" s="299" t="s">
        <v>3078</v>
      </c>
      <c r="S108" s="299" t="s">
        <v>3078</v>
      </c>
      <c r="T108" s="299"/>
      <c r="U108" s="299"/>
      <c r="V108" s="299"/>
      <c r="W108" s="299"/>
      <c r="X108" s="177" t="s">
        <v>2959</v>
      </c>
    </row>
    <row r="109" spans="1:24" ht="16.95" customHeight="1">
      <c r="A109" s="186" t="s">
        <v>2174</v>
      </c>
      <c r="B109" s="298">
        <v>1</v>
      </c>
      <c r="C109" s="298" t="s">
        <v>2433</v>
      </c>
      <c r="D109" s="298"/>
      <c r="E109" s="298"/>
      <c r="F109" s="187" t="s">
        <v>6060</v>
      </c>
      <c r="G109" s="186" t="s">
        <v>2475</v>
      </c>
      <c r="H109" s="298" t="s">
        <v>2498</v>
      </c>
      <c r="I109" s="298" t="s">
        <v>2500</v>
      </c>
      <c r="J109" s="298"/>
      <c r="K109" s="186"/>
      <c r="L109" s="188" t="s">
        <v>2442</v>
      </c>
      <c r="M109" s="189" t="s">
        <v>4127</v>
      </c>
      <c r="N109" s="306" t="s">
        <v>2525</v>
      </c>
      <c r="O109" s="298"/>
      <c r="P109" s="298"/>
      <c r="Q109" s="298"/>
      <c r="R109" s="298"/>
      <c r="S109" s="298"/>
      <c r="T109" s="298" t="s">
        <v>256</v>
      </c>
      <c r="U109" s="298"/>
      <c r="V109" s="298" t="s">
        <v>256</v>
      </c>
      <c r="W109" s="298"/>
      <c r="X109" s="177" t="s">
        <v>2959</v>
      </c>
    </row>
    <row r="110" spans="1:24" ht="16.95" customHeight="1">
      <c r="A110" s="186" t="s">
        <v>2049</v>
      </c>
      <c r="B110" s="298">
        <v>1</v>
      </c>
      <c r="C110" s="298" t="s">
        <v>2433</v>
      </c>
      <c r="D110" s="298"/>
      <c r="E110" s="298" t="s">
        <v>4531</v>
      </c>
      <c r="F110" s="187" t="s">
        <v>6007</v>
      </c>
      <c r="G110" s="186" t="s">
        <v>2461</v>
      </c>
      <c r="H110" s="298" t="s">
        <v>2498</v>
      </c>
      <c r="I110" s="298" t="s">
        <v>2500</v>
      </c>
      <c r="J110" s="298" t="s">
        <v>2960</v>
      </c>
      <c r="K110" s="186" t="s">
        <v>3033</v>
      </c>
      <c r="L110" s="188" t="s">
        <v>2998</v>
      </c>
      <c r="M110" s="189" t="s">
        <v>4128</v>
      </c>
      <c r="N110" s="306" t="s">
        <v>2553</v>
      </c>
      <c r="O110" s="298"/>
      <c r="P110" s="298" t="s">
        <v>256</v>
      </c>
      <c r="Q110" s="298"/>
      <c r="R110" s="298" t="s">
        <v>256</v>
      </c>
      <c r="S110" s="298"/>
      <c r="T110" s="298"/>
      <c r="U110" s="298"/>
      <c r="V110" s="298"/>
      <c r="W110" s="298"/>
      <c r="X110" s="177" t="s">
        <v>2959</v>
      </c>
    </row>
    <row r="111" spans="1:24" ht="16.95" customHeight="1">
      <c r="A111" s="210" t="s">
        <v>2066</v>
      </c>
      <c r="B111" s="304">
        <v>1</v>
      </c>
      <c r="C111" s="304" t="s">
        <v>2450</v>
      </c>
      <c r="D111" s="304"/>
      <c r="E111" s="304" t="s">
        <v>4531</v>
      </c>
      <c r="F111" s="211" t="s">
        <v>5971</v>
      </c>
      <c r="G111" s="210" t="s">
        <v>2461</v>
      </c>
      <c r="H111" s="304" t="s">
        <v>2498</v>
      </c>
      <c r="I111" s="304" t="s">
        <v>2500</v>
      </c>
      <c r="J111" s="304" t="s">
        <v>2960</v>
      </c>
      <c r="K111" s="210" t="s">
        <v>3034</v>
      </c>
      <c r="L111" s="212" t="s">
        <v>2998</v>
      </c>
      <c r="M111" s="213" t="s">
        <v>4129</v>
      </c>
      <c r="N111" s="312" t="s">
        <v>2530</v>
      </c>
      <c r="O111" s="304" t="s">
        <v>256</v>
      </c>
      <c r="P111" s="304"/>
      <c r="Q111" s="304"/>
      <c r="R111" s="304"/>
      <c r="S111" s="304"/>
      <c r="T111" s="304" t="s">
        <v>256</v>
      </c>
      <c r="U111" s="304"/>
      <c r="V111" s="304" t="s">
        <v>256</v>
      </c>
      <c r="W111" s="304"/>
      <c r="X111" s="177" t="s">
        <v>2959</v>
      </c>
    </row>
    <row r="112" spans="1:24" ht="16.95" customHeight="1">
      <c r="A112" s="202" t="s">
        <v>2070</v>
      </c>
      <c r="B112" s="302">
        <v>1</v>
      </c>
      <c r="C112" s="302" t="s">
        <v>2967</v>
      </c>
      <c r="D112" s="302"/>
      <c r="E112" s="302"/>
      <c r="F112" s="203" t="s">
        <v>5971</v>
      </c>
      <c r="G112" s="202" t="s">
        <v>2463</v>
      </c>
      <c r="H112" s="302" t="s">
        <v>2498</v>
      </c>
      <c r="I112" s="302" t="s">
        <v>2500</v>
      </c>
      <c r="J112" s="302" t="s">
        <v>2960</v>
      </c>
      <c r="K112" s="202" t="s">
        <v>3035</v>
      </c>
      <c r="L112" s="204" t="s">
        <v>2438</v>
      </c>
      <c r="M112" s="205" t="s">
        <v>4130</v>
      </c>
      <c r="N112" s="310" t="s">
        <v>2531</v>
      </c>
      <c r="O112" s="302" t="s">
        <v>256</v>
      </c>
      <c r="P112" s="302"/>
      <c r="Q112" s="302"/>
      <c r="R112" s="302"/>
      <c r="S112" s="302"/>
      <c r="T112" s="302" t="s">
        <v>256</v>
      </c>
      <c r="U112" s="302"/>
      <c r="V112" s="302" t="s">
        <v>256</v>
      </c>
      <c r="W112" s="302"/>
      <c r="X112" s="177" t="s">
        <v>2959</v>
      </c>
    </row>
    <row r="113" spans="1:24" ht="16.95" customHeight="1">
      <c r="A113" s="186" t="s">
        <v>2045</v>
      </c>
      <c r="B113" s="298">
        <v>1</v>
      </c>
      <c r="C113" s="298" t="s">
        <v>2433</v>
      </c>
      <c r="D113" s="298"/>
      <c r="E113" s="298"/>
      <c r="F113" s="187" t="s">
        <v>2438</v>
      </c>
      <c r="G113" s="186" t="s">
        <v>2467</v>
      </c>
      <c r="H113" s="298"/>
      <c r="I113" s="298" t="s">
        <v>2500</v>
      </c>
      <c r="J113" s="298" t="s">
        <v>2960</v>
      </c>
      <c r="K113" s="186" t="s">
        <v>3036</v>
      </c>
      <c r="L113" s="188" t="s">
        <v>2444</v>
      </c>
      <c r="M113" s="189" t="s">
        <v>4131</v>
      </c>
      <c r="N113" s="306" t="s">
        <v>2507</v>
      </c>
      <c r="O113" s="298"/>
      <c r="P113" s="298"/>
      <c r="Q113" s="298" t="s">
        <v>256</v>
      </c>
      <c r="R113" s="298"/>
      <c r="S113" s="298" t="s">
        <v>256</v>
      </c>
      <c r="T113" s="298"/>
      <c r="U113" s="298"/>
      <c r="V113" s="298" t="s">
        <v>256</v>
      </c>
      <c r="W113" s="298" t="s">
        <v>256</v>
      </c>
      <c r="X113" s="177" t="s">
        <v>2963</v>
      </c>
    </row>
    <row r="114" spans="1:24" ht="16.95" customHeight="1">
      <c r="A114" s="206" t="s">
        <v>2032</v>
      </c>
      <c r="B114" s="303">
        <v>1</v>
      </c>
      <c r="C114" s="303" t="s">
        <v>4553</v>
      </c>
      <c r="D114" s="303" t="s">
        <v>256</v>
      </c>
      <c r="E114" s="303"/>
      <c r="F114" s="207" t="s">
        <v>5971</v>
      </c>
      <c r="G114" s="206" t="s">
        <v>2475</v>
      </c>
      <c r="H114" s="303" t="s">
        <v>2498</v>
      </c>
      <c r="I114" s="303" t="s">
        <v>2500</v>
      </c>
      <c r="J114" s="303"/>
      <c r="K114" s="206"/>
      <c r="L114" s="208" t="s">
        <v>2428</v>
      </c>
      <c r="M114" s="209" t="s">
        <v>4132</v>
      </c>
      <c r="N114" s="311" t="s">
        <v>2539</v>
      </c>
      <c r="O114" s="303" t="s">
        <v>256</v>
      </c>
      <c r="P114" s="303"/>
      <c r="Q114" s="303" t="s">
        <v>256</v>
      </c>
      <c r="R114" s="303"/>
      <c r="S114" s="303" t="s">
        <v>256</v>
      </c>
      <c r="T114" s="303"/>
      <c r="U114" s="303"/>
      <c r="V114" s="303"/>
      <c r="W114" s="303"/>
      <c r="X114" s="177" t="s">
        <v>2959</v>
      </c>
    </row>
    <row r="115" spans="1:24" ht="16.95" customHeight="1">
      <c r="A115" s="190" t="s">
        <v>3037</v>
      </c>
      <c r="B115" s="299">
        <v>1</v>
      </c>
      <c r="C115" s="299" t="s">
        <v>2429</v>
      </c>
      <c r="D115" s="299"/>
      <c r="E115" s="299" t="s">
        <v>4531</v>
      </c>
      <c r="F115" s="191" t="s">
        <v>5971</v>
      </c>
      <c r="G115" s="190" t="s">
        <v>3038</v>
      </c>
      <c r="H115" s="299" t="s">
        <v>2498</v>
      </c>
      <c r="I115" s="299" t="s">
        <v>2500</v>
      </c>
      <c r="J115" s="299" t="s">
        <v>2960</v>
      </c>
      <c r="K115" s="190" t="s">
        <v>3039</v>
      </c>
      <c r="L115" s="192" t="s">
        <v>2964</v>
      </c>
      <c r="M115" s="193" t="s">
        <v>4133</v>
      </c>
      <c r="N115" s="307" t="s">
        <v>3040</v>
      </c>
      <c r="O115" s="299"/>
      <c r="P115" s="299"/>
      <c r="Q115" s="299"/>
      <c r="R115" s="299"/>
      <c r="S115" s="299"/>
      <c r="T115" s="299" t="s">
        <v>256</v>
      </c>
      <c r="U115" s="299"/>
      <c r="V115" s="299" t="s">
        <v>256</v>
      </c>
      <c r="W115" s="299" t="s">
        <v>256</v>
      </c>
      <c r="X115" s="177" t="s">
        <v>2974</v>
      </c>
    </row>
    <row r="116" spans="1:24" ht="16.95" customHeight="1">
      <c r="A116" s="202" t="s">
        <v>2095</v>
      </c>
      <c r="B116" s="302">
        <v>1</v>
      </c>
      <c r="C116" s="302" t="s">
        <v>2967</v>
      </c>
      <c r="D116" s="302"/>
      <c r="E116" s="302" t="s">
        <v>4531</v>
      </c>
      <c r="F116" s="203" t="s">
        <v>5971</v>
      </c>
      <c r="G116" s="202" t="s">
        <v>2452</v>
      </c>
      <c r="H116" s="302" t="s">
        <v>2498</v>
      </c>
      <c r="I116" s="302" t="s">
        <v>2500</v>
      </c>
      <c r="J116" s="302" t="s">
        <v>2960</v>
      </c>
      <c r="K116" s="202" t="s">
        <v>3041</v>
      </c>
      <c r="L116" s="204" t="s">
        <v>2964</v>
      </c>
      <c r="M116" s="205" t="s">
        <v>4134</v>
      </c>
      <c r="N116" s="310" t="s">
        <v>3042</v>
      </c>
      <c r="O116" s="302" t="s">
        <v>256</v>
      </c>
      <c r="P116" s="302"/>
      <c r="Q116" s="302"/>
      <c r="R116" s="302"/>
      <c r="S116" s="302"/>
      <c r="T116" s="302"/>
      <c r="U116" s="302"/>
      <c r="V116" s="302" t="s">
        <v>256</v>
      </c>
      <c r="W116" s="302"/>
      <c r="X116" s="177" t="s">
        <v>2959</v>
      </c>
    </row>
    <row r="117" spans="1:24" ht="16.95" customHeight="1">
      <c r="A117" s="182" t="s">
        <v>2227</v>
      </c>
      <c r="B117" s="297">
        <v>1</v>
      </c>
      <c r="C117" s="297" t="s">
        <v>4554</v>
      </c>
      <c r="D117" s="297" t="s">
        <v>256</v>
      </c>
      <c r="E117" s="297"/>
      <c r="F117" s="183" t="s">
        <v>5971</v>
      </c>
      <c r="G117" s="182" t="s">
        <v>2452</v>
      </c>
      <c r="H117" s="297" t="s">
        <v>2498</v>
      </c>
      <c r="I117" s="297" t="s">
        <v>2500</v>
      </c>
      <c r="J117" s="297" t="s">
        <v>2960</v>
      </c>
      <c r="K117" s="182" t="s">
        <v>3043</v>
      </c>
      <c r="L117" s="184" t="s">
        <v>2434</v>
      </c>
      <c r="M117" s="185" t="s">
        <v>4135</v>
      </c>
      <c r="N117" s="305" t="s">
        <v>3044</v>
      </c>
      <c r="O117" s="297"/>
      <c r="P117" s="297"/>
      <c r="Q117" s="297"/>
      <c r="R117" s="297"/>
      <c r="S117" s="297"/>
      <c r="T117" s="297"/>
      <c r="U117" s="297"/>
      <c r="V117" s="297" t="s">
        <v>256</v>
      </c>
      <c r="W117" s="297"/>
      <c r="X117" s="177" t="s">
        <v>2959</v>
      </c>
    </row>
    <row r="118" spans="1:24" ht="16.95" customHeight="1">
      <c r="A118" s="190" t="s">
        <v>2017</v>
      </c>
      <c r="B118" s="299">
        <v>1</v>
      </c>
      <c r="C118" s="299" t="s">
        <v>2429</v>
      </c>
      <c r="D118" s="299"/>
      <c r="E118" s="299" t="s">
        <v>4531</v>
      </c>
      <c r="F118" s="191" t="s">
        <v>6007</v>
      </c>
      <c r="G118" s="190" t="s">
        <v>2475</v>
      </c>
      <c r="H118" s="299" t="s">
        <v>2498</v>
      </c>
      <c r="I118" s="299"/>
      <c r="J118" s="299"/>
      <c r="K118" s="190"/>
      <c r="L118" s="192" t="s">
        <v>2964</v>
      </c>
      <c r="M118" s="193" t="s">
        <v>4136</v>
      </c>
      <c r="N118" s="307" t="s">
        <v>2547</v>
      </c>
      <c r="O118" s="299"/>
      <c r="P118" s="299"/>
      <c r="Q118" s="299"/>
      <c r="R118" s="299" t="s">
        <v>256</v>
      </c>
      <c r="S118" s="299"/>
      <c r="T118" s="299"/>
      <c r="U118" s="299"/>
      <c r="V118" s="299"/>
      <c r="W118" s="299"/>
      <c r="X118" s="177" t="s">
        <v>2959</v>
      </c>
    </row>
    <row r="119" spans="1:24" ht="16.95" customHeight="1">
      <c r="A119" s="190" t="s">
        <v>2108</v>
      </c>
      <c r="B119" s="299">
        <v>1</v>
      </c>
      <c r="C119" s="299" t="s">
        <v>2429</v>
      </c>
      <c r="D119" s="299"/>
      <c r="E119" s="299"/>
      <c r="F119" s="191" t="s">
        <v>5971</v>
      </c>
      <c r="G119" s="190" t="s">
        <v>2485</v>
      </c>
      <c r="H119" s="299" t="s">
        <v>2498</v>
      </c>
      <c r="I119" s="299" t="s">
        <v>2500</v>
      </c>
      <c r="J119" s="299"/>
      <c r="K119" s="190"/>
      <c r="L119" s="192" t="s">
        <v>2465</v>
      </c>
      <c r="M119" s="193" t="s">
        <v>4137</v>
      </c>
      <c r="N119" s="307" t="s">
        <v>2541</v>
      </c>
      <c r="O119" s="299" t="s">
        <v>256</v>
      </c>
      <c r="P119" s="299"/>
      <c r="Q119" s="299" t="s">
        <v>256</v>
      </c>
      <c r="R119" s="299"/>
      <c r="S119" s="299"/>
      <c r="T119" s="299" t="s">
        <v>256</v>
      </c>
      <c r="U119" s="299"/>
      <c r="V119" s="299" t="s">
        <v>256</v>
      </c>
      <c r="W119" s="299"/>
      <c r="X119" s="177" t="s">
        <v>2959</v>
      </c>
    </row>
    <row r="120" spans="1:24" ht="16.95" customHeight="1">
      <c r="A120" s="182" t="s">
        <v>2055</v>
      </c>
      <c r="B120" s="297">
        <v>1</v>
      </c>
      <c r="C120" s="297" t="s">
        <v>4554</v>
      </c>
      <c r="D120" s="297" t="s">
        <v>256</v>
      </c>
      <c r="E120" s="297"/>
      <c r="F120" s="183" t="s">
        <v>5971</v>
      </c>
      <c r="G120" s="182" t="s">
        <v>2461</v>
      </c>
      <c r="H120" s="297" t="s">
        <v>2498</v>
      </c>
      <c r="I120" s="297" t="s">
        <v>2500</v>
      </c>
      <c r="J120" s="297" t="s">
        <v>2960</v>
      </c>
      <c r="K120" s="182" t="s">
        <v>3045</v>
      </c>
      <c r="L120" s="184" t="s">
        <v>2434</v>
      </c>
      <c r="M120" s="185" t="s">
        <v>4138</v>
      </c>
      <c r="N120" s="305" t="s">
        <v>2527</v>
      </c>
      <c r="O120" s="297" t="s">
        <v>256</v>
      </c>
      <c r="P120" s="297"/>
      <c r="Q120" s="297"/>
      <c r="R120" s="297"/>
      <c r="S120" s="297"/>
      <c r="T120" s="297"/>
      <c r="U120" s="297" t="s">
        <v>256</v>
      </c>
      <c r="V120" s="297" t="s">
        <v>256</v>
      </c>
      <c r="W120" s="297"/>
      <c r="X120" s="177" t="s">
        <v>2959</v>
      </c>
    </row>
    <row r="121" spans="1:24" ht="16.95" customHeight="1">
      <c r="A121" s="190" t="s">
        <v>2094</v>
      </c>
      <c r="B121" s="299">
        <v>1</v>
      </c>
      <c r="C121" s="299" t="s">
        <v>2429</v>
      </c>
      <c r="D121" s="299"/>
      <c r="E121" s="299" t="s">
        <v>4531</v>
      </c>
      <c r="F121" s="191" t="s">
        <v>5971</v>
      </c>
      <c r="G121" s="190" t="s">
        <v>2452</v>
      </c>
      <c r="H121" s="299" t="s">
        <v>2498</v>
      </c>
      <c r="I121" s="299" t="s">
        <v>2500</v>
      </c>
      <c r="J121" s="299" t="s">
        <v>2960</v>
      </c>
      <c r="K121" s="190" t="s">
        <v>3046</v>
      </c>
      <c r="L121" s="192" t="s">
        <v>2964</v>
      </c>
      <c r="M121" s="193" t="s">
        <v>4139</v>
      </c>
      <c r="N121" s="307" t="s">
        <v>2518</v>
      </c>
      <c r="O121" s="299"/>
      <c r="P121" s="299"/>
      <c r="Q121" s="299"/>
      <c r="R121" s="299"/>
      <c r="S121" s="299"/>
      <c r="T121" s="299" t="s">
        <v>256</v>
      </c>
      <c r="U121" s="299" t="s">
        <v>256</v>
      </c>
      <c r="V121" s="299" t="s">
        <v>256</v>
      </c>
      <c r="W121" s="299"/>
      <c r="X121" s="177" t="s">
        <v>2959</v>
      </c>
    </row>
    <row r="122" spans="1:24" ht="16.95" customHeight="1">
      <c r="A122" s="190" t="s">
        <v>2022</v>
      </c>
      <c r="B122" s="299">
        <v>1</v>
      </c>
      <c r="C122" s="299" t="s">
        <v>2429</v>
      </c>
      <c r="D122" s="299"/>
      <c r="E122" s="299" t="s">
        <v>4531</v>
      </c>
      <c r="F122" s="191" t="s">
        <v>6007</v>
      </c>
      <c r="G122" s="190" t="s">
        <v>2475</v>
      </c>
      <c r="H122" s="299" t="s">
        <v>2498</v>
      </c>
      <c r="I122" s="299"/>
      <c r="J122" s="299"/>
      <c r="K122" s="190"/>
      <c r="L122" s="192" t="s">
        <v>2964</v>
      </c>
      <c r="M122" s="193" t="s">
        <v>4140</v>
      </c>
      <c r="N122" s="307" t="s">
        <v>2548</v>
      </c>
      <c r="O122" s="299"/>
      <c r="P122" s="299"/>
      <c r="Q122" s="299"/>
      <c r="R122" s="299" t="s">
        <v>256</v>
      </c>
      <c r="S122" s="299"/>
      <c r="T122" s="299"/>
      <c r="U122" s="299"/>
      <c r="V122" s="299"/>
      <c r="W122" s="299"/>
      <c r="X122" s="177" t="s">
        <v>2959</v>
      </c>
    </row>
    <row r="123" spans="1:24" ht="16.95" customHeight="1">
      <c r="A123" s="198" t="s">
        <v>2011</v>
      </c>
      <c r="B123" s="301">
        <v>1</v>
      </c>
      <c r="C123" s="301" t="s">
        <v>2425</v>
      </c>
      <c r="D123" s="301"/>
      <c r="E123" s="301" t="s">
        <v>4531</v>
      </c>
      <c r="F123" s="199" t="s">
        <v>6007</v>
      </c>
      <c r="G123" s="198" t="s">
        <v>2475</v>
      </c>
      <c r="H123" s="301" t="s">
        <v>2498</v>
      </c>
      <c r="I123" s="301"/>
      <c r="J123" s="301"/>
      <c r="K123" s="198"/>
      <c r="L123" s="200" t="s">
        <v>2964</v>
      </c>
      <c r="M123" s="201" t="s">
        <v>4141</v>
      </c>
      <c r="N123" s="309" t="s">
        <v>2497</v>
      </c>
      <c r="O123" s="301"/>
      <c r="P123" s="301"/>
      <c r="Q123" s="301"/>
      <c r="R123" s="301"/>
      <c r="S123" s="301" t="s">
        <v>256</v>
      </c>
      <c r="T123" s="301"/>
      <c r="U123" s="301"/>
      <c r="V123" s="301"/>
      <c r="W123" s="301"/>
      <c r="X123" s="177" t="s">
        <v>2963</v>
      </c>
    </row>
    <row r="124" spans="1:24" ht="16.95" customHeight="1">
      <c r="A124" s="210" t="s">
        <v>3047</v>
      </c>
      <c r="B124" s="304">
        <v>1</v>
      </c>
      <c r="C124" s="304" t="s">
        <v>2450</v>
      </c>
      <c r="D124" s="304"/>
      <c r="E124" s="304"/>
      <c r="F124" s="211" t="s">
        <v>2438</v>
      </c>
      <c r="G124" s="210" t="s">
        <v>2467</v>
      </c>
      <c r="H124" s="304" t="s">
        <v>2498</v>
      </c>
      <c r="I124" s="304" t="s">
        <v>2500</v>
      </c>
      <c r="J124" s="304"/>
      <c r="K124" s="210"/>
      <c r="L124" s="212" t="s">
        <v>2444</v>
      </c>
      <c r="M124" s="213" t="s">
        <v>4142</v>
      </c>
      <c r="N124" s="312" t="s">
        <v>3048</v>
      </c>
      <c r="O124" s="304" t="s">
        <v>256</v>
      </c>
      <c r="P124" s="304"/>
      <c r="Q124" s="304"/>
      <c r="R124" s="304"/>
      <c r="S124" s="304"/>
      <c r="T124" s="304"/>
      <c r="U124" s="304" t="s">
        <v>256</v>
      </c>
      <c r="V124" s="304" t="s">
        <v>256</v>
      </c>
      <c r="W124" s="304"/>
      <c r="X124" s="385" t="s">
        <v>3049</v>
      </c>
    </row>
    <row r="125" spans="1:24" ht="16.95" customHeight="1">
      <c r="A125" s="190" t="s">
        <v>3050</v>
      </c>
      <c r="B125" s="299">
        <v>1</v>
      </c>
      <c r="C125" s="299" t="s">
        <v>2429</v>
      </c>
      <c r="D125" s="299"/>
      <c r="E125" s="299"/>
      <c r="F125" s="191" t="s">
        <v>5971</v>
      </c>
      <c r="G125" s="190" t="s">
        <v>2435</v>
      </c>
      <c r="H125" s="299" t="s">
        <v>2498</v>
      </c>
      <c r="I125" s="299" t="s">
        <v>2500</v>
      </c>
      <c r="J125" s="299"/>
      <c r="K125" s="190" t="s">
        <v>3051</v>
      </c>
      <c r="L125" s="192" t="s">
        <v>2465</v>
      </c>
      <c r="M125" s="193" t="s">
        <v>4143</v>
      </c>
      <c r="N125" s="307" t="s">
        <v>3052</v>
      </c>
      <c r="O125" s="299"/>
      <c r="P125" s="299"/>
      <c r="Q125" s="299"/>
      <c r="R125" s="299"/>
      <c r="S125" s="299"/>
      <c r="T125" s="299"/>
      <c r="U125" s="299"/>
      <c r="V125" s="299" t="s">
        <v>256</v>
      </c>
      <c r="W125" s="299"/>
      <c r="X125" s="385" t="s">
        <v>3049</v>
      </c>
    </row>
    <row r="126" spans="1:24" ht="16.95" customHeight="1">
      <c r="A126" s="202" t="s">
        <v>3053</v>
      </c>
      <c r="B126" s="302">
        <v>1</v>
      </c>
      <c r="C126" s="302" t="s">
        <v>2967</v>
      </c>
      <c r="D126" s="302"/>
      <c r="E126" s="302"/>
      <c r="F126" s="203" t="s">
        <v>6061</v>
      </c>
      <c r="G126" s="202" t="s">
        <v>2461</v>
      </c>
      <c r="H126" s="302" t="s">
        <v>2498</v>
      </c>
      <c r="I126" s="302"/>
      <c r="J126" s="302"/>
      <c r="K126" s="202"/>
      <c r="L126" s="204" t="s">
        <v>2465</v>
      </c>
      <c r="M126" s="205" t="s">
        <v>4144</v>
      </c>
      <c r="N126" s="310" t="s">
        <v>3054</v>
      </c>
      <c r="O126" s="302" t="s">
        <v>256</v>
      </c>
      <c r="P126" s="302"/>
      <c r="Q126" s="302"/>
      <c r="R126" s="302"/>
      <c r="S126" s="302"/>
      <c r="T126" s="302" t="s">
        <v>256</v>
      </c>
      <c r="U126" s="302"/>
      <c r="V126" s="302" t="s">
        <v>256</v>
      </c>
      <c r="W126" s="302"/>
      <c r="X126" s="385" t="s">
        <v>3055</v>
      </c>
    </row>
    <row r="127" spans="1:24" ht="16.95" customHeight="1">
      <c r="A127" s="190" t="s">
        <v>2117</v>
      </c>
      <c r="B127" s="299">
        <v>2</v>
      </c>
      <c r="C127" s="299" t="s">
        <v>2429</v>
      </c>
      <c r="D127" s="299"/>
      <c r="E127" s="299"/>
      <c r="F127" s="191" t="s">
        <v>5971</v>
      </c>
      <c r="G127" s="190" t="s">
        <v>2452</v>
      </c>
      <c r="H127" s="299" t="s">
        <v>2498</v>
      </c>
      <c r="I127" s="299" t="s">
        <v>2500</v>
      </c>
      <c r="J127" s="299" t="s">
        <v>2960</v>
      </c>
      <c r="K127" s="190" t="s">
        <v>3056</v>
      </c>
      <c r="L127" s="192" t="s">
        <v>2465</v>
      </c>
      <c r="M127" s="193" t="s">
        <v>4145</v>
      </c>
      <c r="N127" s="307" t="s">
        <v>3057</v>
      </c>
      <c r="O127" s="299"/>
      <c r="P127" s="299"/>
      <c r="Q127" s="299"/>
      <c r="R127" s="299"/>
      <c r="S127" s="299"/>
      <c r="T127" s="299" t="s">
        <v>256</v>
      </c>
      <c r="U127" s="299"/>
      <c r="V127" s="299" t="s">
        <v>256</v>
      </c>
      <c r="W127" s="299"/>
      <c r="X127" s="177" t="s">
        <v>2963</v>
      </c>
    </row>
    <row r="128" spans="1:24" ht="16.95" customHeight="1">
      <c r="A128" s="186" t="s">
        <v>2073</v>
      </c>
      <c r="B128" s="298">
        <v>2</v>
      </c>
      <c r="C128" s="298" t="s">
        <v>2433</v>
      </c>
      <c r="D128" s="298"/>
      <c r="E128" s="298"/>
      <c r="F128" s="187" t="s">
        <v>5971</v>
      </c>
      <c r="G128" s="186" t="s">
        <v>2452</v>
      </c>
      <c r="H128" s="298" t="s">
        <v>2498</v>
      </c>
      <c r="I128" s="298" t="s">
        <v>2500</v>
      </c>
      <c r="J128" s="298" t="s">
        <v>2960</v>
      </c>
      <c r="K128" s="186" t="s">
        <v>3058</v>
      </c>
      <c r="L128" s="188" t="s">
        <v>2444</v>
      </c>
      <c r="M128" s="189" t="s">
        <v>4146</v>
      </c>
      <c r="N128" s="306" t="s">
        <v>2610</v>
      </c>
      <c r="O128" s="298" t="s">
        <v>3078</v>
      </c>
      <c r="P128" s="298" t="s">
        <v>256</v>
      </c>
      <c r="Q128" s="298"/>
      <c r="R128" s="298" t="s">
        <v>256</v>
      </c>
      <c r="S128" s="298" t="s">
        <v>3078</v>
      </c>
      <c r="T128" s="298"/>
      <c r="U128" s="298"/>
      <c r="V128" s="298"/>
      <c r="W128" s="298" t="s">
        <v>256</v>
      </c>
      <c r="X128" s="177" t="s">
        <v>2959</v>
      </c>
    </row>
    <row r="129" spans="1:24" ht="16.95" customHeight="1">
      <c r="A129" s="198" t="s">
        <v>2240</v>
      </c>
      <c r="B129" s="301">
        <v>2</v>
      </c>
      <c r="C129" s="301" t="s">
        <v>2425</v>
      </c>
      <c r="D129" s="301"/>
      <c r="E129" s="301" t="s">
        <v>4531</v>
      </c>
      <c r="F129" s="199" t="s">
        <v>5971</v>
      </c>
      <c r="G129" s="198" t="s">
        <v>2475</v>
      </c>
      <c r="H129" s="301" t="s">
        <v>2498</v>
      </c>
      <c r="I129" s="301" t="s">
        <v>2500</v>
      </c>
      <c r="J129" s="301"/>
      <c r="K129" s="198"/>
      <c r="L129" s="200" t="s">
        <v>3013</v>
      </c>
      <c r="M129" s="201" t="s">
        <v>4147</v>
      </c>
      <c r="N129" s="309" t="s">
        <v>2581</v>
      </c>
      <c r="O129" s="301"/>
      <c r="P129" s="301"/>
      <c r="Q129" s="301"/>
      <c r="R129" s="301"/>
      <c r="S129" s="301"/>
      <c r="T129" s="301" t="s">
        <v>256</v>
      </c>
      <c r="U129" s="301"/>
      <c r="V129" s="301" t="s">
        <v>256</v>
      </c>
      <c r="W129" s="301" t="s">
        <v>256</v>
      </c>
      <c r="X129" s="177" t="s">
        <v>2959</v>
      </c>
    </row>
    <row r="130" spans="1:24" ht="16.95" customHeight="1">
      <c r="A130" s="202" t="s">
        <v>2077</v>
      </c>
      <c r="B130" s="302">
        <v>2</v>
      </c>
      <c r="C130" s="302" t="s">
        <v>4557</v>
      </c>
      <c r="D130" s="302" t="s">
        <v>256</v>
      </c>
      <c r="E130" s="302"/>
      <c r="F130" s="203" t="s">
        <v>5971</v>
      </c>
      <c r="G130" s="202" t="s">
        <v>2452</v>
      </c>
      <c r="H130" s="302" t="s">
        <v>2498</v>
      </c>
      <c r="I130" s="302" t="s">
        <v>2500</v>
      </c>
      <c r="J130" s="302" t="s">
        <v>2960</v>
      </c>
      <c r="K130" s="202" t="s">
        <v>2994</v>
      </c>
      <c r="L130" s="204" t="s">
        <v>2448</v>
      </c>
      <c r="M130" s="205" t="s">
        <v>4148</v>
      </c>
      <c r="N130" s="310" t="s">
        <v>2604</v>
      </c>
      <c r="O130" s="302" t="s">
        <v>256</v>
      </c>
      <c r="P130" s="302"/>
      <c r="Q130" s="302" t="s">
        <v>256</v>
      </c>
      <c r="R130" s="302"/>
      <c r="S130" s="302" t="s">
        <v>256</v>
      </c>
      <c r="T130" s="302"/>
      <c r="U130" s="302"/>
      <c r="V130" s="302"/>
      <c r="W130" s="302"/>
      <c r="X130" s="177" t="s">
        <v>2959</v>
      </c>
    </row>
    <row r="131" spans="1:24" ht="16.95" customHeight="1">
      <c r="A131" s="186" t="s">
        <v>2335</v>
      </c>
      <c r="B131" s="298">
        <v>2</v>
      </c>
      <c r="C131" s="298" t="s">
        <v>2433</v>
      </c>
      <c r="D131" s="298"/>
      <c r="E131" s="298"/>
      <c r="F131" s="187" t="s">
        <v>5971</v>
      </c>
      <c r="G131" s="186" t="s">
        <v>2467</v>
      </c>
      <c r="H131" s="298" t="s">
        <v>2498</v>
      </c>
      <c r="I131" s="298" t="s">
        <v>2500</v>
      </c>
      <c r="J131" s="298" t="s">
        <v>2960</v>
      </c>
      <c r="K131" s="186" t="s">
        <v>3059</v>
      </c>
      <c r="L131" s="188" t="s">
        <v>2612</v>
      </c>
      <c r="M131" s="189" t="s">
        <v>4149</v>
      </c>
      <c r="N131" s="306" t="s">
        <v>2620</v>
      </c>
      <c r="O131" s="298"/>
      <c r="P131" s="298"/>
      <c r="Q131" s="298"/>
      <c r="R131" s="298"/>
      <c r="S131" s="298"/>
      <c r="T131" s="298"/>
      <c r="U131" s="298"/>
      <c r="V131" s="298" t="s">
        <v>256</v>
      </c>
      <c r="W131" s="298" t="s">
        <v>256</v>
      </c>
      <c r="X131" s="177" t="s">
        <v>2959</v>
      </c>
    </row>
    <row r="132" spans="1:24" ht="16.95" customHeight="1">
      <c r="A132" s="206" t="s">
        <v>2128</v>
      </c>
      <c r="B132" s="303">
        <v>2</v>
      </c>
      <c r="C132" s="303" t="s">
        <v>4553</v>
      </c>
      <c r="D132" s="303" t="s">
        <v>256</v>
      </c>
      <c r="E132" s="303"/>
      <c r="F132" s="207" t="s">
        <v>2438</v>
      </c>
      <c r="G132" s="206" t="s">
        <v>2475</v>
      </c>
      <c r="H132" s="303" t="s">
        <v>2498</v>
      </c>
      <c r="I132" s="303" t="s">
        <v>2500</v>
      </c>
      <c r="J132" s="303" t="s">
        <v>2960</v>
      </c>
      <c r="K132" s="206" t="s">
        <v>3060</v>
      </c>
      <c r="L132" s="208" t="s">
        <v>2465</v>
      </c>
      <c r="M132" s="209" t="s">
        <v>4150</v>
      </c>
      <c r="N132" s="311" t="s">
        <v>2616</v>
      </c>
      <c r="O132" s="303"/>
      <c r="P132" s="303" t="s">
        <v>256</v>
      </c>
      <c r="Q132" s="303" t="s">
        <v>3078</v>
      </c>
      <c r="R132" s="303"/>
      <c r="S132" s="303"/>
      <c r="T132" s="303"/>
      <c r="U132" s="303"/>
      <c r="V132" s="303" t="s">
        <v>3078</v>
      </c>
      <c r="W132" s="303"/>
      <c r="X132" s="177" t="s">
        <v>2959</v>
      </c>
    </row>
    <row r="133" spans="1:24" ht="16.95" customHeight="1">
      <c r="A133" s="198" t="s">
        <v>2098</v>
      </c>
      <c r="B133" s="301">
        <v>2</v>
      </c>
      <c r="C133" s="301" t="s">
        <v>2425</v>
      </c>
      <c r="D133" s="301"/>
      <c r="E133" s="301" t="s">
        <v>4531</v>
      </c>
      <c r="F133" s="199" t="s">
        <v>5971</v>
      </c>
      <c r="G133" s="198" t="s">
        <v>2467</v>
      </c>
      <c r="H133" s="301" t="s">
        <v>2498</v>
      </c>
      <c r="I133" s="301" t="s">
        <v>2500</v>
      </c>
      <c r="J133" s="301" t="s">
        <v>2960</v>
      </c>
      <c r="K133" s="198" t="s">
        <v>3061</v>
      </c>
      <c r="L133" s="200" t="s">
        <v>3013</v>
      </c>
      <c r="M133" s="201" t="s">
        <v>4151</v>
      </c>
      <c r="N133" s="309" t="s">
        <v>2624</v>
      </c>
      <c r="O133" s="301"/>
      <c r="P133" s="301"/>
      <c r="Q133" s="301" t="s">
        <v>256</v>
      </c>
      <c r="R133" s="301"/>
      <c r="S133" s="301" t="s">
        <v>256</v>
      </c>
      <c r="T133" s="301"/>
      <c r="U133" s="301"/>
      <c r="V133" s="301"/>
      <c r="W133" s="301"/>
      <c r="X133" s="177" t="s">
        <v>2959</v>
      </c>
    </row>
    <row r="134" spans="1:24" ht="16.95" customHeight="1">
      <c r="A134" s="206" t="s">
        <v>2100</v>
      </c>
      <c r="B134" s="303">
        <v>2</v>
      </c>
      <c r="C134" s="303" t="s">
        <v>4553</v>
      </c>
      <c r="D134" s="303" t="s">
        <v>256</v>
      </c>
      <c r="E134" s="303" t="s">
        <v>256</v>
      </c>
      <c r="F134" s="207" t="s">
        <v>5971</v>
      </c>
      <c r="G134" s="206" t="s">
        <v>2467</v>
      </c>
      <c r="H134" s="303"/>
      <c r="I134" s="303" t="s">
        <v>2500</v>
      </c>
      <c r="J134" s="303"/>
      <c r="K134" s="206"/>
      <c r="L134" s="208" t="s">
        <v>3013</v>
      </c>
      <c r="M134" s="209" t="s">
        <v>4152</v>
      </c>
      <c r="N134" s="311" t="s">
        <v>2625</v>
      </c>
      <c r="O134" s="303"/>
      <c r="P134" s="303"/>
      <c r="Q134" s="303" t="s">
        <v>256</v>
      </c>
      <c r="R134" s="303"/>
      <c r="S134" s="303" t="s">
        <v>256</v>
      </c>
      <c r="T134" s="303"/>
      <c r="U134" s="303"/>
      <c r="V134" s="303"/>
      <c r="W134" s="303"/>
      <c r="X134" s="177" t="s">
        <v>2959</v>
      </c>
    </row>
    <row r="135" spans="1:24" ht="16.95" customHeight="1">
      <c r="A135" s="194" t="s">
        <v>5272</v>
      </c>
      <c r="B135" s="300">
        <v>2</v>
      </c>
      <c r="C135" s="300" t="s">
        <v>2437</v>
      </c>
      <c r="D135" s="300"/>
      <c r="E135" s="300"/>
      <c r="F135" s="195" t="s">
        <v>5971</v>
      </c>
      <c r="G135" s="194" t="s">
        <v>2452</v>
      </c>
      <c r="H135" s="300" t="s">
        <v>2498</v>
      </c>
      <c r="I135" s="300"/>
      <c r="J135" s="300"/>
      <c r="K135" s="194"/>
      <c r="L135" s="196" t="s">
        <v>2438</v>
      </c>
      <c r="M135" s="197" t="s">
        <v>4153</v>
      </c>
      <c r="N135" s="308" t="s">
        <v>2596</v>
      </c>
      <c r="O135" s="300" t="s">
        <v>256</v>
      </c>
      <c r="P135" s="300" t="s">
        <v>256</v>
      </c>
      <c r="Q135" s="300"/>
      <c r="R135" s="300"/>
      <c r="S135" s="300"/>
      <c r="T135" s="300" t="s">
        <v>256</v>
      </c>
      <c r="U135" s="300"/>
      <c r="V135" s="300" t="s">
        <v>256</v>
      </c>
      <c r="W135" s="300"/>
      <c r="X135" s="177" t="s">
        <v>2959</v>
      </c>
    </row>
    <row r="136" spans="1:24" ht="16.95" customHeight="1">
      <c r="A136" s="210" t="s">
        <v>2242</v>
      </c>
      <c r="B136" s="304">
        <v>2</v>
      </c>
      <c r="C136" s="304" t="s">
        <v>2450</v>
      </c>
      <c r="D136" s="304"/>
      <c r="E136" s="304" t="s">
        <v>4531</v>
      </c>
      <c r="F136" s="211" t="s">
        <v>5971</v>
      </c>
      <c r="G136" s="210" t="s">
        <v>2475</v>
      </c>
      <c r="H136" s="304" t="s">
        <v>2498</v>
      </c>
      <c r="I136" s="304"/>
      <c r="J136" s="304"/>
      <c r="K136" s="210"/>
      <c r="L136" s="212" t="s">
        <v>2964</v>
      </c>
      <c r="M136" s="213" t="s">
        <v>4154</v>
      </c>
      <c r="N136" s="312" t="s">
        <v>2582</v>
      </c>
      <c r="O136" s="304"/>
      <c r="P136" s="304"/>
      <c r="Q136" s="304"/>
      <c r="R136" s="304"/>
      <c r="S136" s="304"/>
      <c r="T136" s="304" t="s">
        <v>256</v>
      </c>
      <c r="U136" s="304"/>
      <c r="V136" s="304" t="s">
        <v>256</v>
      </c>
      <c r="W136" s="304" t="s">
        <v>256</v>
      </c>
      <c r="X136" s="177" t="s">
        <v>2959</v>
      </c>
    </row>
    <row r="137" spans="1:24" ht="16.95" customHeight="1">
      <c r="A137" s="190" t="s">
        <v>2068</v>
      </c>
      <c r="B137" s="299">
        <v>2</v>
      </c>
      <c r="C137" s="299" t="s">
        <v>2429</v>
      </c>
      <c r="D137" s="299"/>
      <c r="E137" s="299" t="s">
        <v>4531</v>
      </c>
      <c r="F137" s="191" t="s">
        <v>6007</v>
      </c>
      <c r="G137" s="190" t="s">
        <v>2475</v>
      </c>
      <c r="H137" s="299" t="s">
        <v>2498</v>
      </c>
      <c r="I137" s="299"/>
      <c r="J137" s="299"/>
      <c r="K137" s="190"/>
      <c r="L137" s="192" t="s">
        <v>2964</v>
      </c>
      <c r="M137" s="193" t="s">
        <v>4155</v>
      </c>
      <c r="N137" s="307" t="s">
        <v>2608</v>
      </c>
      <c r="O137" s="299"/>
      <c r="P137" s="299"/>
      <c r="Q137" s="299"/>
      <c r="R137" s="299" t="s">
        <v>256</v>
      </c>
      <c r="S137" s="299"/>
      <c r="T137" s="299"/>
      <c r="U137" s="299"/>
      <c r="V137" s="299"/>
      <c r="W137" s="299"/>
      <c r="X137" s="177" t="s">
        <v>2959</v>
      </c>
    </row>
    <row r="138" spans="1:24" ht="16.95" customHeight="1">
      <c r="A138" s="202" t="s">
        <v>2104</v>
      </c>
      <c r="B138" s="302">
        <v>2</v>
      </c>
      <c r="C138" s="302" t="s">
        <v>2967</v>
      </c>
      <c r="D138" s="302"/>
      <c r="E138" s="302" t="s">
        <v>4531</v>
      </c>
      <c r="F138" s="203" t="s">
        <v>5971</v>
      </c>
      <c r="G138" s="202" t="s">
        <v>2461</v>
      </c>
      <c r="H138" s="302" t="s">
        <v>2498</v>
      </c>
      <c r="I138" s="302" t="s">
        <v>2500</v>
      </c>
      <c r="J138" s="302"/>
      <c r="K138" s="202"/>
      <c r="L138" s="204" t="s">
        <v>2964</v>
      </c>
      <c r="M138" s="205" t="s">
        <v>4156</v>
      </c>
      <c r="N138" s="310" t="s">
        <v>2602</v>
      </c>
      <c r="O138" s="302" t="s">
        <v>256</v>
      </c>
      <c r="P138" s="302" t="s">
        <v>256</v>
      </c>
      <c r="Q138" s="302"/>
      <c r="R138" s="302"/>
      <c r="S138" s="302"/>
      <c r="T138" s="302"/>
      <c r="U138" s="302"/>
      <c r="V138" s="302"/>
      <c r="W138" s="302"/>
      <c r="X138" s="177" t="s">
        <v>2959</v>
      </c>
    </row>
    <row r="139" spans="1:24" ht="16.95" customHeight="1">
      <c r="A139" s="182" t="s">
        <v>2148</v>
      </c>
      <c r="B139" s="297">
        <v>2</v>
      </c>
      <c r="C139" s="297" t="s">
        <v>2443</v>
      </c>
      <c r="D139" s="297"/>
      <c r="E139" s="297" t="s">
        <v>4531</v>
      </c>
      <c r="F139" s="183" t="s">
        <v>5971</v>
      </c>
      <c r="G139" s="182" t="s">
        <v>2461</v>
      </c>
      <c r="H139" s="297" t="s">
        <v>2498</v>
      </c>
      <c r="I139" s="297" t="s">
        <v>2500</v>
      </c>
      <c r="J139" s="297" t="s">
        <v>2960</v>
      </c>
      <c r="K139" s="182" t="s">
        <v>3062</v>
      </c>
      <c r="L139" s="184" t="s">
        <v>2964</v>
      </c>
      <c r="M139" s="185" t="s">
        <v>4157</v>
      </c>
      <c r="N139" s="305" t="s">
        <v>2587</v>
      </c>
      <c r="O139" s="297" t="s">
        <v>256</v>
      </c>
      <c r="P139" s="297"/>
      <c r="Q139" s="297"/>
      <c r="R139" s="297"/>
      <c r="S139" s="297"/>
      <c r="T139" s="297" t="s">
        <v>256</v>
      </c>
      <c r="U139" s="297" t="s">
        <v>256</v>
      </c>
      <c r="V139" s="297" t="s">
        <v>256</v>
      </c>
      <c r="W139" s="297"/>
      <c r="X139" s="177" t="s">
        <v>2959</v>
      </c>
    </row>
    <row r="140" spans="1:24" ht="16.95" customHeight="1">
      <c r="A140" s="190" t="s">
        <v>2111</v>
      </c>
      <c r="B140" s="299">
        <v>2</v>
      </c>
      <c r="C140" s="299" t="s">
        <v>2429</v>
      </c>
      <c r="D140" s="299"/>
      <c r="E140" s="299"/>
      <c r="F140" s="191" t="s">
        <v>5971</v>
      </c>
      <c r="G140" s="190" t="s">
        <v>2467</v>
      </c>
      <c r="H140" s="299" t="s">
        <v>2498</v>
      </c>
      <c r="I140" s="299" t="s">
        <v>2500</v>
      </c>
      <c r="J140" s="299" t="s">
        <v>2960</v>
      </c>
      <c r="K140" s="190" t="s">
        <v>3063</v>
      </c>
      <c r="L140" s="192" t="s">
        <v>2612</v>
      </c>
      <c r="M140" s="193" t="s">
        <v>4158</v>
      </c>
      <c r="N140" s="307" t="s">
        <v>2611</v>
      </c>
      <c r="O140" s="299"/>
      <c r="P140" s="299" t="s">
        <v>256</v>
      </c>
      <c r="Q140" s="299" t="s">
        <v>3078</v>
      </c>
      <c r="R140" s="299"/>
      <c r="S140" s="299"/>
      <c r="T140" s="299"/>
      <c r="U140" s="299"/>
      <c r="V140" s="299" t="s">
        <v>256</v>
      </c>
      <c r="W140" s="299" t="s">
        <v>256</v>
      </c>
      <c r="X140" s="177" t="s">
        <v>2959</v>
      </c>
    </row>
    <row r="141" spans="1:24" ht="16.95" customHeight="1">
      <c r="A141" s="198" t="s">
        <v>2064</v>
      </c>
      <c r="B141" s="301">
        <v>2</v>
      </c>
      <c r="C141" s="301" t="s">
        <v>2425</v>
      </c>
      <c r="D141" s="301"/>
      <c r="E141" s="301"/>
      <c r="F141" s="199" t="s">
        <v>5971</v>
      </c>
      <c r="G141" s="198" t="s">
        <v>2458</v>
      </c>
      <c r="H141" s="301" t="s">
        <v>2498</v>
      </c>
      <c r="I141" s="301" t="s">
        <v>2500</v>
      </c>
      <c r="J141" s="301" t="s">
        <v>2960</v>
      </c>
      <c r="K141" s="198" t="s">
        <v>3064</v>
      </c>
      <c r="L141" s="200" t="s">
        <v>2444</v>
      </c>
      <c r="M141" s="201" t="s">
        <v>4159</v>
      </c>
      <c r="N141" s="309" t="s">
        <v>2574</v>
      </c>
      <c r="O141" s="301"/>
      <c r="P141" s="301"/>
      <c r="Q141" s="301"/>
      <c r="R141" s="301"/>
      <c r="S141" s="301" t="s">
        <v>256</v>
      </c>
      <c r="T141" s="301"/>
      <c r="U141" s="301"/>
      <c r="V141" s="301"/>
      <c r="W141" s="301"/>
      <c r="X141" s="177" t="s">
        <v>2959</v>
      </c>
    </row>
    <row r="142" spans="1:24" ht="16.95" customHeight="1">
      <c r="A142" s="202" t="s">
        <v>2153</v>
      </c>
      <c r="B142" s="302">
        <v>2</v>
      </c>
      <c r="C142" s="302" t="s">
        <v>2967</v>
      </c>
      <c r="D142" s="302"/>
      <c r="E142" s="302" t="s">
        <v>4531</v>
      </c>
      <c r="F142" s="203" t="s">
        <v>5971</v>
      </c>
      <c r="G142" s="202" t="s">
        <v>2435</v>
      </c>
      <c r="H142" s="302" t="s">
        <v>2498</v>
      </c>
      <c r="I142" s="302" t="s">
        <v>2500</v>
      </c>
      <c r="J142" s="302"/>
      <c r="K142" s="202"/>
      <c r="L142" s="204" t="s">
        <v>2964</v>
      </c>
      <c r="M142" s="205" t="s">
        <v>4160</v>
      </c>
      <c r="N142" s="310" t="s">
        <v>2588</v>
      </c>
      <c r="O142" s="302" t="s">
        <v>256</v>
      </c>
      <c r="P142" s="302"/>
      <c r="Q142" s="302"/>
      <c r="R142" s="302"/>
      <c r="S142" s="302"/>
      <c r="T142" s="302" t="s">
        <v>256</v>
      </c>
      <c r="U142" s="302" t="s">
        <v>256</v>
      </c>
      <c r="V142" s="302" t="s">
        <v>256</v>
      </c>
      <c r="W142" s="302"/>
      <c r="X142" s="177" t="s">
        <v>2959</v>
      </c>
    </row>
    <row r="143" spans="1:24" ht="16.95" customHeight="1">
      <c r="A143" s="190" t="s">
        <v>2129</v>
      </c>
      <c r="B143" s="299">
        <v>2</v>
      </c>
      <c r="C143" s="299" t="s">
        <v>2429</v>
      </c>
      <c r="D143" s="299"/>
      <c r="E143" s="299" t="s">
        <v>4531</v>
      </c>
      <c r="F143" s="191" t="s">
        <v>5971</v>
      </c>
      <c r="G143" s="190" t="s">
        <v>2461</v>
      </c>
      <c r="H143" s="299" t="s">
        <v>2498</v>
      </c>
      <c r="I143" s="299"/>
      <c r="J143" s="299" t="s">
        <v>2960</v>
      </c>
      <c r="K143" s="190" t="s">
        <v>3065</v>
      </c>
      <c r="L143" s="192" t="s">
        <v>2998</v>
      </c>
      <c r="M143" s="193" t="s">
        <v>4161</v>
      </c>
      <c r="N143" s="307" t="s">
        <v>2577</v>
      </c>
      <c r="O143" s="299"/>
      <c r="P143" s="299"/>
      <c r="Q143" s="299"/>
      <c r="R143" s="299"/>
      <c r="S143" s="299"/>
      <c r="T143" s="299" t="s">
        <v>256</v>
      </c>
      <c r="U143" s="299" t="s">
        <v>256</v>
      </c>
      <c r="V143" s="299" t="s">
        <v>256</v>
      </c>
      <c r="W143" s="299"/>
      <c r="X143" s="177" t="s">
        <v>2959</v>
      </c>
    </row>
    <row r="144" spans="1:24" ht="16.95" customHeight="1">
      <c r="A144" s="198" t="s">
        <v>160</v>
      </c>
      <c r="B144" s="301">
        <v>2</v>
      </c>
      <c r="C144" s="301" t="s">
        <v>2425</v>
      </c>
      <c r="D144" s="301"/>
      <c r="E144" s="301"/>
      <c r="F144" s="199" t="s">
        <v>5971</v>
      </c>
      <c r="G144" s="198" t="s">
        <v>2467</v>
      </c>
      <c r="H144" s="301" t="s">
        <v>2498</v>
      </c>
      <c r="I144" s="301" t="s">
        <v>2500</v>
      </c>
      <c r="J144" s="301" t="s">
        <v>2960</v>
      </c>
      <c r="K144" s="198" t="s">
        <v>3066</v>
      </c>
      <c r="L144" s="200" t="s">
        <v>2444</v>
      </c>
      <c r="M144" s="201" t="s">
        <v>4162</v>
      </c>
      <c r="N144" s="309" t="s">
        <v>2623</v>
      </c>
      <c r="O144" s="301"/>
      <c r="P144" s="301"/>
      <c r="Q144" s="301" t="s">
        <v>256</v>
      </c>
      <c r="R144" s="301"/>
      <c r="S144" s="301" t="s">
        <v>256</v>
      </c>
      <c r="T144" s="301" t="s">
        <v>256</v>
      </c>
      <c r="U144" s="301"/>
      <c r="V144" s="301" t="s">
        <v>256</v>
      </c>
      <c r="W144" s="301" t="s">
        <v>256</v>
      </c>
      <c r="X144" s="177" t="s">
        <v>2959</v>
      </c>
    </row>
    <row r="145" spans="1:24" ht="16.95" customHeight="1">
      <c r="A145" s="206" t="s">
        <v>2171</v>
      </c>
      <c r="B145" s="303">
        <v>2</v>
      </c>
      <c r="C145" s="303" t="s">
        <v>2440</v>
      </c>
      <c r="D145" s="303"/>
      <c r="E145" s="303" t="s">
        <v>4531</v>
      </c>
      <c r="F145" s="207" t="s">
        <v>5971</v>
      </c>
      <c r="G145" s="206" t="s">
        <v>2475</v>
      </c>
      <c r="H145" s="303" t="s">
        <v>2498</v>
      </c>
      <c r="I145" s="303" t="s">
        <v>2500</v>
      </c>
      <c r="J145" s="303" t="s">
        <v>2960</v>
      </c>
      <c r="K145" s="206" t="s">
        <v>3067</v>
      </c>
      <c r="L145" s="208" t="s">
        <v>2964</v>
      </c>
      <c r="M145" s="209" t="s">
        <v>4163</v>
      </c>
      <c r="N145" s="311" t="s">
        <v>2495</v>
      </c>
      <c r="O145" s="303" t="s">
        <v>256</v>
      </c>
      <c r="P145" s="303"/>
      <c r="Q145" s="303"/>
      <c r="R145" s="303"/>
      <c r="S145" s="303"/>
      <c r="T145" s="303" t="s">
        <v>256</v>
      </c>
      <c r="U145" s="303"/>
      <c r="V145" s="303" t="s">
        <v>256</v>
      </c>
      <c r="W145" s="303"/>
      <c r="X145" s="177" t="s">
        <v>2959</v>
      </c>
    </row>
    <row r="146" spans="1:24" ht="16.95" customHeight="1">
      <c r="A146" s="198" t="s">
        <v>2214</v>
      </c>
      <c r="B146" s="301">
        <v>2</v>
      </c>
      <c r="C146" s="301" t="s">
        <v>2425</v>
      </c>
      <c r="D146" s="301"/>
      <c r="E146" s="301" t="s">
        <v>4531</v>
      </c>
      <c r="F146" s="199" t="s">
        <v>6007</v>
      </c>
      <c r="G146" s="198" t="s">
        <v>2467</v>
      </c>
      <c r="H146" s="301" t="s">
        <v>2498</v>
      </c>
      <c r="I146" s="301" t="s">
        <v>2500</v>
      </c>
      <c r="J146" s="301" t="s">
        <v>2960</v>
      </c>
      <c r="K146" s="198" t="s">
        <v>3068</v>
      </c>
      <c r="L146" s="200" t="s">
        <v>2964</v>
      </c>
      <c r="M146" s="201" t="s">
        <v>4164</v>
      </c>
      <c r="N146" s="309" t="s">
        <v>2567</v>
      </c>
      <c r="O146" s="301"/>
      <c r="P146" s="301"/>
      <c r="Q146" s="301"/>
      <c r="R146" s="301"/>
      <c r="S146" s="301"/>
      <c r="T146" s="301" t="s">
        <v>256</v>
      </c>
      <c r="U146" s="301"/>
      <c r="V146" s="301" t="s">
        <v>256</v>
      </c>
      <c r="W146" s="301"/>
      <c r="X146" s="177" t="s">
        <v>2963</v>
      </c>
    </row>
    <row r="147" spans="1:24" ht="16.95" customHeight="1">
      <c r="A147" s="182" t="s">
        <v>2215</v>
      </c>
      <c r="B147" s="297">
        <v>2</v>
      </c>
      <c r="C147" s="297" t="s">
        <v>2443</v>
      </c>
      <c r="D147" s="297"/>
      <c r="E147" s="297" t="s">
        <v>4531</v>
      </c>
      <c r="F147" s="183" t="s">
        <v>5971</v>
      </c>
      <c r="G147" s="182" t="s">
        <v>2461</v>
      </c>
      <c r="H147" s="297" t="s">
        <v>2498</v>
      </c>
      <c r="I147" s="297" t="s">
        <v>2500</v>
      </c>
      <c r="J147" s="297" t="s">
        <v>2960</v>
      </c>
      <c r="K147" s="182" t="s">
        <v>3069</v>
      </c>
      <c r="L147" s="184" t="s">
        <v>2964</v>
      </c>
      <c r="M147" s="185" t="s">
        <v>4165</v>
      </c>
      <c r="N147" s="305" t="s">
        <v>2573</v>
      </c>
      <c r="O147" s="297"/>
      <c r="P147" s="297"/>
      <c r="Q147" s="297" t="s">
        <v>256</v>
      </c>
      <c r="R147" s="297"/>
      <c r="S147" s="297"/>
      <c r="T147" s="297" t="s">
        <v>256</v>
      </c>
      <c r="U147" s="297"/>
      <c r="V147" s="297" t="s">
        <v>256</v>
      </c>
      <c r="W147" s="297"/>
      <c r="X147" s="177" t="s">
        <v>2963</v>
      </c>
    </row>
    <row r="148" spans="1:24" ht="16.95" customHeight="1">
      <c r="A148" s="198" t="s">
        <v>2180</v>
      </c>
      <c r="B148" s="301">
        <v>2</v>
      </c>
      <c r="C148" s="301" t="s">
        <v>2425</v>
      </c>
      <c r="D148" s="301"/>
      <c r="E148" s="301" t="s">
        <v>4531</v>
      </c>
      <c r="F148" s="199" t="s">
        <v>5971</v>
      </c>
      <c r="G148" s="198" t="s">
        <v>2449</v>
      </c>
      <c r="H148" s="301" t="s">
        <v>2498</v>
      </c>
      <c r="I148" s="301"/>
      <c r="J148" s="301"/>
      <c r="K148" s="198"/>
      <c r="L148" s="200" t="s">
        <v>2964</v>
      </c>
      <c r="M148" s="201" t="s">
        <v>4166</v>
      </c>
      <c r="N148" s="309" t="s">
        <v>2572</v>
      </c>
      <c r="O148" s="301"/>
      <c r="P148" s="301"/>
      <c r="Q148" s="301" t="s">
        <v>256</v>
      </c>
      <c r="R148" s="301"/>
      <c r="S148" s="301"/>
      <c r="T148" s="301" t="s">
        <v>256</v>
      </c>
      <c r="U148" s="301" t="s">
        <v>256</v>
      </c>
      <c r="V148" s="301" t="s">
        <v>256</v>
      </c>
      <c r="W148" s="301"/>
      <c r="X148" s="177" t="s">
        <v>2963</v>
      </c>
    </row>
    <row r="149" spans="1:24" ht="16.95" customHeight="1">
      <c r="A149" s="198" t="s">
        <v>2097</v>
      </c>
      <c r="B149" s="301">
        <v>2</v>
      </c>
      <c r="C149" s="301" t="s">
        <v>2425</v>
      </c>
      <c r="D149" s="301"/>
      <c r="E149" s="301" t="s">
        <v>256</v>
      </c>
      <c r="F149" s="199" t="s">
        <v>5971</v>
      </c>
      <c r="G149" s="198" t="s">
        <v>2467</v>
      </c>
      <c r="H149" s="301" t="s">
        <v>2498</v>
      </c>
      <c r="I149" s="301" t="s">
        <v>2500</v>
      </c>
      <c r="J149" s="301" t="s">
        <v>2960</v>
      </c>
      <c r="K149" s="198" t="s">
        <v>3070</v>
      </c>
      <c r="L149" s="200" t="s">
        <v>3013</v>
      </c>
      <c r="M149" s="201" t="s">
        <v>4167</v>
      </c>
      <c r="N149" s="309" t="s">
        <v>2599</v>
      </c>
      <c r="O149" s="301" t="s">
        <v>256</v>
      </c>
      <c r="P149" s="301" t="s">
        <v>256</v>
      </c>
      <c r="Q149" s="301" t="s">
        <v>256</v>
      </c>
      <c r="R149" s="301"/>
      <c r="S149" s="301" t="s">
        <v>3078</v>
      </c>
      <c r="T149" s="301" t="s">
        <v>256</v>
      </c>
      <c r="U149" s="301"/>
      <c r="V149" s="301" t="s">
        <v>3078</v>
      </c>
      <c r="W149" s="301" t="s">
        <v>256</v>
      </c>
      <c r="X149" s="177" t="s">
        <v>2959</v>
      </c>
    </row>
    <row r="150" spans="1:24" ht="16.95" customHeight="1">
      <c r="A150" s="198" t="s">
        <v>3071</v>
      </c>
      <c r="B150" s="301">
        <v>2</v>
      </c>
      <c r="C150" s="301" t="s">
        <v>2425</v>
      </c>
      <c r="D150" s="301"/>
      <c r="E150" s="301" t="s">
        <v>4531</v>
      </c>
      <c r="F150" s="199" t="s">
        <v>5971</v>
      </c>
      <c r="G150" s="198" t="s">
        <v>2452</v>
      </c>
      <c r="H150" s="301" t="s">
        <v>2498</v>
      </c>
      <c r="I150" s="301" t="s">
        <v>2500</v>
      </c>
      <c r="J150" s="301" t="s">
        <v>2960</v>
      </c>
      <c r="K150" s="198" t="s">
        <v>3072</v>
      </c>
      <c r="L150" s="200" t="s">
        <v>2964</v>
      </c>
      <c r="M150" s="201" t="s">
        <v>4168</v>
      </c>
      <c r="N150" s="309" t="s">
        <v>2583</v>
      </c>
      <c r="O150" s="301" t="s">
        <v>3078</v>
      </c>
      <c r="P150" s="301"/>
      <c r="Q150" s="301" t="s">
        <v>3078</v>
      </c>
      <c r="R150" s="301"/>
      <c r="S150" s="301"/>
      <c r="T150" s="301" t="s">
        <v>256</v>
      </c>
      <c r="U150" s="301"/>
      <c r="V150" s="301" t="s">
        <v>256</v>
      </c>
      <c r="W150" s="301" t="s">
        <v>256</v>
      </c>
      <c r="X150" s="177" t="s">
        <v>2959</v>
      </c>
    </row>
    <row r="151" spans="1:24" ht="16.95" customHeight="1">
      <c r="A151" s="202" t="s">
        <v>2143</v>
      </c>
      <c r="B151" s="302">
        <v>2</v>
      </c>
      <c r="C151" s="302" t="s">
        <v>2967</v>
      </c>
      <c r="D151" s="302"/>
      <c r="E151" s="302"/>
      <c r="F151" s="203" t="s">
        <v>5971</v>
      </c>
      <c r="G151" s="202" t="s">
        <v>2461</v>
      </c>
      <c r="H151" s="302" t="s">
        <v>2498</v>
      </c>
      <c r="I151" s="302" t="s">
        <v>2500</v>
      </c>
      <c r="J151" s="302"/>
      <c r="K151" s="202"/>
      <c r="L151" s="204" t="s">
        <v>2438</v>
      </c>
      <c r="M151" s="205" t="s">
        <v>4169</v>
      </c>
      <c r="N151" s="310" t="s">
        <v>2586</v>
      </c>
      <c r="O151" s="302" t="s">
        <v>256</v>
      </c>
      <c r="P151" s="302"/>
      <c r="Q151" s="302"/>
      <c r="R151" s="302"/>
      <c r="S151" s="302"/>
      <c r="T151" s="302"/>
      <c r="U151" s="302" t="s">
        <v>256</v>
      </c>
      <c r="V151" s="302"/>
      <c r="W151" s="302"/>
      <c r="X151" s="177" t="s">
        <v>2959</v>
      </c>
    </row>
    <row r="152" spans="1:24" ht="16.95" customHeight="1">
      <c r="A152" s="182" t="s">
        <v>2071</v>
      </c>
      <c r="B152" s="297">
        <v>2</v>
      </c>
      <c r="C152" s="297" t="s">
        <v>2443</v>
      </c>
      <c r="D152" s="297"/>
      <c r="E152" s="297"/>
      <c r="F152" s="183" t="s">
        <v>2428</v>
      </c>
      <c r="G152" s="182" t="s">
        <v>2452</v>
      </c>
      <c r="H152" s="297" t="s">
        <v>2498</v>
      </c>
      <c r="I152" s="297" t="s">
        <v>2500</v>
      </c>
      <c r="J152" s="297"/>
      <c r="K152" s="182"/>
      <c r="L152" s="184" t="s">
        <v>2465</v>
      </c>
      <c r="M152" s="185" t="s">
        <v>4170</v>
      </c>
      <c r="N152" s="305" t="s">
        <v>2609</v>
      </c>
      <c r="O152" s="297"/>
      <c r="P152" s="297"/>
      <c r="Q152" s="297"/>
      <c r="R152" s="297" t="s">
        <v>256</v>
      </c>
      <c r="S152" s="297"/>
      <c r="T152" s="297"/>
      <c r="U152" s="297"/>
      <c r="V152" s="297"/>
      <c r="W152" s="297"/>
      <c r="X152" s="177" t="s">
        <v>2959</v>
      </c>
    </row>
    <row r="153" spans="1:24" ht="16.95" customHeight="1">
      <c r="A153" s="206" t="s">
        <v>2086</v>
      </c>
      <c r="B153" s="303">
        <v>2</v>
      </c>
      <c r="C153" s="303" t="s">
        <v>2440</v>
      </c>
      <c r="D153" s="303"/>
      <c r="E153" s="303"/>
      <c r="F153" s="207" t="s">
        <v>5971</v>
      </c>
      <c r="G153" s="206" t="s">
        <v>2435</v>
      </c>
      <c r="H153" s="303" t="s">
        <v>2498</v>
      </c>
      <c r="I153" s="303" t="s">
        <v>2500</v>
      </c>
      <c r="J153" s="303"/>
      <c r="K153" s="206"/>
      <c r="L153" s="208" t="s">
        <v>2465</v>
      </c>
      <c r="M153" s="209" t="s">
        <v>4171</v>
      </c>
      <c r="N153" s="311" t="s">
        <v>2614</v>
      </c>
      <c r="O153" s="303"/>
      <c r="P153" s="303" t="s">
        <v>256</v>
      </c>
      <c r="Q153" s="303" t="s">
        <v>256</v>
      </c>
      <c r="R153" s="303"/>
      <c r="S153" s="303" t="s">
        <v>256</v>
      </c>
      <c r="T153" s="303"/>
      <c r="U153" s="303"/>
      <c r="V153" s="303"/>
      <c r="W153" s="303"/>
      <c r="X153" s="177" t="s">
        <v>2959</v>
      </c>
    </row>
    <row r="154" spans="1:24" ht="16.95" customHeight="1">
      <c r="A154" s="190" t="s">
        <v>2233</v>
      </c>
      <c r="B154" s="299">
        <v>2</v>
      </c>
      <c r="C154" s="299" t="s">
        <v>2429</v>
      </c>
      <c r="D154" s="299"/>
      <c r="E154" s="299" t="s">
        <v>4531</v>
      </c>
      <c r="F154" s="191" t="s">
        <v>6007</v>
      </c>
      <c r="G154" s="190" t="s">
        <v>2475</v>
      </c>
      <c r="H154" s="299" t="s">
        <v>2498</v>
      </c>
      <c r="I154" s="299" t="s">
        <v>2500</v>
      </c>
      <c r="J154" s="299" t="s">
        <v>2960</v>
      </c>
      <c r="K154" s="190" t="s">
        <v>3073</v>
      </c>
      <c r="L154" s="192" t="s">
        <v>2998</v>
      </c>
      <c r="M154" s="193" t="s">
        <v>4172</v>
      </c>
      <c r="N154" s="307" t="s">
        <v>2629</v>
      </c>
      <c r="O154" s="299"/>
      <c r="P154" s="299"/>
      <c r="Q154" s="299" t="s">
        <v>256</v>
      </c>
      <c r="R154" s="299"/>
      <c r="S154" s="299"/>
      <c r="T154" s="299" t="s">
        <v>3078</v>
      </c>
      <c r="U154" s="299"/>
      <c r="V154" s="299"/>
      <c r="W154" s="299"/>
      <c r="X154" s="177" t="s">
        <v>2959</v>
      </c>
    </row>
    <row r="155" spans="1:24" ht="16.95" customHeight="1">
      <c r="A155" s="182" t="s">
        <v>2339</v>
      </c>
      <c r="B155" s="297">
        <v>2</v>
      </c>
      <c r="C155" s="297" t="s">
        <v>2443</v>
      </c>
      <c r="D155" s="297"/>
      <c r="E155" s="297" t="s">
        <v>4531</v>
      </c>
      <c r="F155" s="183" t="s">
        <v>5971</v>
      </c>
      <c r="G155" s="182" t="s">
        <v>2461</v>
      </c>
      <c r="H155" s="297" t="s">
        <v>2498</v>
      </c>
      <c r="I155" s="297" t="s">
        <v>2500</v>
      </c>
      <c r="J155" s="297" t="s">
        <v>2960</v>
      </c>
      <c r="K155" s="182" t="s">
        <v>3074</v>
      </c>
      <c r="L155" s="184" t="s">
        <v>2964</v>
      </c>
      <c r="M155" s="185" t="s">
        <v>4173</v>
      </c>
      <c r="N155" s="305" t="s">
        <v>2621</v>
      </c>
      <c r="O155" s="297"/>
      <c r="P155" s="297"/>
      <c r="Q155" s="297" t="s">
        <v>256</v>
      </c>
      <c r="R155" s="297"/>
      <c r="S155" s="297"/>
      <c r="T155" s="297" t="s">
        <v>3078</v>
      </c>
      <c r="U155" s="297"/>
      <c r="V155" s="297" t="s">
        <v>256</v>
      </c>
      <c r="W155" s="297"/>
      <c r="X155" s="177" t="s">
        <v>2959</v>
      </c>
    </row>
    <row r="156" spans="1:24" ht="16.95" customHeight="1">
      <c r="A156" s="206" t="s">
        <v>3075</v>
      </c>
      <c r="B156" s="303">
        <v>2</v>
      </c>
      <c r="C156" s="303" t="s">
        <v>2440</v>
      </c>
      <c r="D156" s="303"/>
      <c r="E156" s="303"/>
      <c r="F156" s="207" t="s">
        <v>2438</v>
      </c>
      <c r="G156" s="206" t="s">
        <v>2461</v>
      </c>
      <c r="H156" s="303" t="s">
        <v>2498</v>
      </c>
      <c r="I156" s="303" t="s">
        <v>2500</v>
      </c>
      <c r="J156" s="303" t="s">
        <v>2960</v>
      </c>
      <c r="K156" s="206" t="s">
        <v>3076</v>
      </c>
      <c r="L156" s="208" t="s">
        <v>2434</v>
      </c>
      <c r="M156" s="209" t="s">
        <v>4174</v>
      </c>
      <c r="N156" s="311" t="s">
        <v>3077</v>
      </c>
      <c r="O156" s="303"/>
      <c r="P156" s="303"/>
      <c r="Q156" s="303"/>
      <c r="R156" s="303"/>
      <c r="S156" s="303"/>
      <c r="T156" s="303"/>
      <c r="U156" s="303"/>
      <c r="V156" s="303" t="s">
        <v>256</v>
      </c>
      <c r="W156" s="303"/>
      <c r="X156" s="177" t="s">
        <v>2979</v>
      </c>
    </row>
    <row r="157" spans="1:24" ht="16.95" customHeight="1">
      <c r="A157" s="194" t="s">
        <v>2116</v>
      </c>
      <c r="B157" s="300">
        <v>2</v>
      </c>
      <c r="C157" s="300" t="s">
        <v>4558</v>
      </c>
      <c r="D157" s="300" t="s">
        <v>3078</v>
      </c>
      <c r="E157" s="300"/>
      <c r="F157" s="195" t="s">
        <v>5971</v>
      </c>
      <c r="G157" s="194" t="s">
        <v>2467</v>
      </c>
      <c r="H157" s="300" t="s">
        <v>2498</v>
      </c>
      <c r="I157" s="300" t="s">
        <v>2500</v>
      </c>
      <c r="J157" s="300" t="s">
        <v>2960</v>
      </c>
      <c r="K157" s="194" t="s">
        <v>3079</v>
      </c>
      <c r="L157" s="196" t="s">
        <v>2432</v>
      </c>
      <c r="M157" s="197" t="s">
        <v>4175</v>
      </c>
      <c r="N157" s="308" t="s">
        <v>2613</v>
      </c>
      <c r="O157" s="300"/>
      <c r="P157" s="300" t="s">
        <v>256</v>
      </c>
      <c r="Q157" s="300"/>
      <c r="R157" s="300" t="s">
        <v>3078</v>
      </c>
      <c r="S157" s="300"/>
      <c r="T157" s="300"/>
      <c r="U157" s="300"/>
      <c r="V157" s="300" t="s">
        <v>256</v>
      </c>
      <c r="W157" s="300"/>
      <c r="X157" s="177" t="s">
        <v>2959</v>
      </c>
    </row>
    <row r="158" spans="1:24" ht="16.95" customHeight="1">
      <c r="A158" s="190" t="s">
        <v>2232</v>
      </c>
      <c r="B158" s="299">
        <v>2</v>
      </c>
      <c r="C158" s="299" t="s">
        <v>2429</v>
      </c>
      <c r="D158" s="299"/>
      <c r="E158" s="299" t="s">
        <v>4531</v>
      </c>
      <c r="F158" s="191" t="s">
        <v>5971</v>
      </c>
      <c r="G158" s="190" t="s">
        <v>2492</v>
      </c>
      <c r="H158" s="299" t="s">
        <v>2498</v>
      </c>
      <c r="I158" s="299" t="s">
        <v>2500</v>
      </c>
      <c r="J158" s="299" t="s">
        <v>2960</v>
      </c>
      <c r="K158" s="190" t="s">
        <v>3080</v>
      </c>
      <c r="L158" s="192" t="s">
        <v>2964</v>
      </c>
      <c r="M158" s="193" t="s">
        <v>4176</v>
      </c>
      <c r="N158" s="307" t="s">
        <v>2628</v>
      </c>
      <c r="O158" s="299"/>
      <c r="P158" s="299"/>
      <c r="Q158" s="299" t="s">
        <v>256</v>
      </c>
      <c r="R158" s="299"/>
      <c r="S158" s="299" t="s">
        <v>3078</v>
      </c>
      <c r="T158" s="299" t="s">
        <v>256</v>
      </c>
      <c r="U158" s="299"/>
      <c r="V158" s="299" t="s">
        <v>256</v>
      </c>
      <c r="W158" s="299"/>
      <c r="X158" s="177" t="s">
        <v>2959</v>
      </c>
    </row>
    <row r="159" spans="1:24" ht="16.95" customHeight="1">
      <c r="A159" s="182" t="s">
        <v>2091</v>
      </c>
      <c r="B159" s="297">
        <v>2</v>
      </c>
      <c r="C159" s="297" t="s">
        <v>2443</v>
      </c>
      <c r="D159" s="297"/>
      <c r="E159" s="297" t="s">
        <v>256</v>
      </c>
      <c r="F159" s="183" t="s">
        <v>6007</v>
      </c>
      <c r="G159" s="182" t="s">
        <v>2461</v>
      </c>
      <c r="H159" s="297" t="s">
        <v>2498</v>
      </c>
      <c r="I159" s="297" t="s">
        <v>2500</v>
      </c>
      <c r="J159" s="297"/>
      <c r="K159" s="182"/>
      <c r="L159" s="184" t="s">
        <v>2964</v>
      </c>
      <c r="M159" s="185" t="s">
        <v>4177</v>
      </c>
      <c r="N159" s="305" t="s">
        <v>2571</v>
      </c>
      <c r="O159" s="297"/>
      <c r="P159" s="297"/>
      <c r="Q159" s="297" t="s">
        <v>256</v>
      </c>
      <c r="R159" s="297"/>
      <c r="S159" s="297" t="s">
        <v>256</v>
      </c>
      <c r="T159" s="297"/>
      <c r="U159" s="297"/>
      <c r="V159" s="297"/>
      <c r="W159" s="297"/>
      <c r="X159" s="177" t="s">
        <v>2963</v>
      </c>
    </row>
    <row r="160" spans="1:24" ht="16.95" customHeight="1">
      <c r="A160" s="198" t="s">
        <v>2206</v>
      </c>
      <c r="B160" s="301">
        <v>2</v>
      </c>
      <c r="C160" s="301" t="s">
        <v>2425</v>
      </c>
      <c r="D160" s="301"/>
      <c r="E160" s="301" t="s">
        <v>256</v>
      </c>
      <c r="F160" s="199" t="s">
        <v>5971</v>
      </c>
      <c r="G160" s="198" t="s">
        <v>2461</v>
      </c>
      <c r="H160" s="301" t="s">
        <v>2498</v>
      </c>
      <c r="I160" s="301" t="s">
        <v>2500</v>
      </c>
      <c r="J160" s="301" t="s">
        <v>2960</v>
      </c>
      <c r="K160" s="198" t="s">
        <v>3081</v>
      </c>
      <c r="L160" s="200" t="s">
        <v>2964</v>
      </c>
      <c r="M160" s="201" t="s">
        <v>4178</v>
      </c>
      <c r="N160" s="309" t="s">
        <v>2606</v>
      </c>
      <c r="O160" s="301" t="s">
        <v>256</v>
      </c>
      <c r="P160" s="301"/>
      <c r="Q160" s="301" t="s">
        <v>256</v>
      </c>
      <c r="R160" s="301"/>
      <c r="S160" s="301"/>
      <c r="T160" s="301"/>
      <c r="U160" s="301"/>
      <c r="V160" s="301"/>
      <c r="W160" s="301" t="s">
        <v>256</v>
      </c>
      <c r="X160" s="177" t="s">
        <v>2959</v>
      </c>
    </row>
    <row r="161" spans="1:24" ht="16.95" customHeight="1">
      <c r="A161" s="202" t="s">
        <v>2093</v>
      </c>
      <c r="B161" s="302">
        <v>2</v>
      </c>
      <c r="C161" s="302" t="s">
        <v>2967</v>
      </c>
      <c r="D161" s="302"/>
      <c r="E161" s="302" t="s">
        <v>256</v>
      </c>
      <c r="F161" s="203" t="s">
        <v>5971</v>
      </c>
      <c r="G161" s="202" t="s">
        <v>2461</v>
      </c>
      <c r="H161" s="302" t="s">
        <v>2498</v>
      </c>
      <c r="I161" s="302" t="s">
        <v>2500</v>
      </c>
      <c r="J161" s="302" t="s">
        <v>2960</v>
      </c>
      <c r="K161" s="202" t="s">
        <v>3082</v>
      </c>
      <c r="L161" s="204" t="s">
        <v>2964</v>
      </c>
      <c r="M161" s="205" t="s">
        <v>4179</v>
      </c>
      <c r="N161" s="310" t="s">
        <v>2598</v>
      </c>
      <c r="O161" s="302" t="s">
        <v>256</v>
      </c>
      <c r="P161" s="302" t="s">
        <v>256</v>
      </c>
      <c r="Q161" s="302" t="s">
        <v>256</v>
      </c>
      <c r="R161" s="302"/>
      <c r="S161" s="302"/>
      <c r="T161" s="302" t="s">
        <v>256</v>
      </c>
      <c r="U161" s="302" t="s">
        <v>256</v>
      </c>
      <c r="V161" s="302" t="s">
        <v>256</v>
      </c>
      <c r="W161" s="302"/>
      <c r="X161" s="177" t="s">
        <v>2959</v>
      </c>
    </row>
    <row r="162" spans="1:24" ht="16.95" customHeight="1">
      <c r="A162" s="198" t="s">
        <v>3083</v>
      </c>
      <c r="B162" s="301">
        <v>2</v>
      </c>
      <c r="C162" s="301" t="s">
        <v>2425</v>
      </c>
      <c r="D162" s="301"/>
      <c r="E162" s="301"/>
      <c r="F162" s="199" t="s">
        <v>5971</v>
      </c>
      <c r="G162" s="198" t="s">
        <v>2467</v>
      </c>
      <c r="H162" s="301" t="s">
        <v>2498</v>
      </c>
      <c r="I162" s="301" t="s">
        <v>2500</v>
      </c>
      <c r="J162" s="301" t="s">
        <v>2960</v>
      </c>
      <c r="K162" s="198" t="s">
        <v>3084</v>
      </c>
      <c r="L162" s="200" t="s">
        <v>2434</v>
      </c>
      <c r="M162" s="201" t="s">
        <v>4180</v>
      </c>
      <c r="N162" s="309" t="s">
        <v>3085</v>
      </c>
      <c r="O162" s="301"/>
      <c r="P162" s="301"/>
      <c r="Q162" s="301"/>
      <c r="R162" s="301"/>
      <c r="S162" s="301"/>
      <c r="T162" s="301"/>
      <c r="U162" s="301"/>
      <c r="V162" s="301" t="s">
        <v>256</v>
      </c>
      <c r="W162" s="301"/>
      <c r="X162" s="177" t="s">
        <v>2979</v>
      </c>
    </row>
    <row r="163" spans="1:24" ht="16.95" customHeight="1">
      <c r="A163" s="210" t="s">
        <v>2158</v>
      </c>
      <c r="B163" s="304">
        <v>2</v>
      </c>
      <c r="C163" s="304" t="s">
        <v>2450</v>
      </c>
      <c r="D163" s="304"/>
      <c r="E163" s="304" t="s">
        <v>256</v>
      </c>
      <c r="F163" s="211" t="s">
        <v>5971</v>
      </c>
      <c r="G163" s="210" t="s">
        <v>2467</v>
      </c>
      <c r="H163" s="304" t="s">
        <v>2498</v>
      </c>
      <c r="I163" s="304" t="s">
        <v>2500</v>
      </c>
      <c r="J163" s="304" t="s">
        <v>2960</v>
      </c>
      <c r="K163" s="210" t="s">
        <v>3086</v>
      </c>
      <c r="L163" s="212" t="s">
        <v>3013</v>
      </c>
      <c r="M163" s="213" t="s">
        <v>4181</v>
      </c>
      <c r="N163" s="312" t="s">
        <v>2589</v>
      </c>
      <c r="O163" s="304" t="s">
        <v>256</v>
      </c>
      <c r="P163" s="304"/>
      <c r="Q163" s="304"/>
      <c r="R163" s="304"/>
      <c r="S163" s="304"/>
      <c r="T163" s="304" t="s">
        <v>256</v>
      </c>
      <c r="U163" s="304" t="s">
        <v>256</v>
      </c>
      <c r="V163" s="304" t="s">
        <v>256</v>
      </c>
      <c r="W163" s="304" t="s">
        <v>256</v>
      </c>
      <c r="X163" s="177" t="s">
        <v>2959</v>
      </c>
    </row>
    <row r="164" spans="1:24" ht="16.95" customHeight="1">
      <c r="A164" s="198" t="s">
        <v>2175</v>
      </c>
      <c r="B164" s="301">
        <v>2</v>
      </c>
      <c r="C164" s="301" t="s">
        <v>2425</v>
      </c>
      <c r="D164" s="301"/>
      <c r="E164" s="301"/>
      <c r="F164" s="199" t="s">
        <v>5971</v>
      </c>
      <c r="G164" s="198" t="s">
        <v>2461</v>
      </c>
      <c r="H164" s="301" t="s">
        <v>2498</v>
      </c>
      <c r="I164" s="301"/>
      <c r="J164" s="301"/>
      <c r="K164" s="198"/>
      <c r="L164" s="200" t="s">
        <v>2465</v>
      </c>
      <c r="M164" s="201" t="s">
        <v>4182</v>
      </c>
      <c r="N164" s="309" t="s">
        <v>2592</v>
      </c>
      <c r="O164" s="301" t="s">
        <v>256</v>
      </c>
      <c r="P164" s="301"/>
      <c r="Q164" s="301"/>
      <c r="R164" s="301"/>
      <c r="S164" s="301"/>
      <c r="T164" s="301" t="s">
        <v>256</v>
      </c>
      <c r="U164" s="301"/>
      <c r="V164" s="301" t="s">
        <v>256</v>
      </c>
      <c r="W164" s="301"/>
      <c r="X164" s="177" t="s">
        <v>2959</v>
      </c>
    </row>
    <row r="165" spans="1:24" ht="16.95" customHeight="1">
      <c r="A165" s="186" t="s">
        <v>2062</v>
      </c>
      <c r="B165" s="298">
        <v>2</v>
      </c>
      <c r="C165" s="298" t="s">
        <v>2433</v>
      </c>
      <c r="D165" s="298"/>
      <c r="E165" s="298"/>
      <c r="F165" s="187" t="s">
        <v>5971</v>
      </c>
      <c r="G165" s="186" t="s">
        <v>2467</v>
      </c>
      <c r="H165" s="298" t="s">
        <v>2498</v>
      </c>
      <c r="I165" s="298" t="s">
        <v>2500</v>
      </c>
      <c r="J165" s="298"/>
      <c r="K165" s="186"/>
      <c r="L165" s="188" t="s">
        <v>2465</v>
      </c>
      <c r="M165" s="189" t="s">
        <v>4183</v>
      </c>
      <c r="N165" s="306" t="s">
        <v>2601</v>
      </c>
      <c r="O165" s="298" t="s">
        <v>256</v>
      </c>
      <c r="P165" s="298" t="s">
        <v>256</v>
      </c>
      <c r="Q165" s="298" t="s">
        <v>256</v>
      </c>
      <c r="R165" s="298" t="s">
        <v>256</v>
      </c>
      <c r="S165" s="298" t="s">
        <v>256</v>
      </c>
      <c r="T165" s="298"/>
      <c r="U165" s="298"/>
      <c r="V165" s="298"/>
      <c r="W165" s="298" t="s">
        <v>256</v>
      </c>
      <c r="X165" s="177" t="s">
        <v>2959</v>
      </c>
    </row>
    <row r="166" spans="1:24" ht="16.95" customHeight="1">
      <c r="A166" s="198" t="s">
        <v>2246</v>
      </c>
      <c r="B166" s="301">
        <v>2</v>
      </c>
      <c r="C166" s="301" t="s">
        <v>2425</v>
      </c>
      <c r="D166" s="301"/>
      <c r="E166" s="301" t="s">
        <v>256</v>
      </c>
      <c r="F166" s="199" t="s">
        <v>5971</v>
      </c>
      <c r="G166" s="198" t="s">
        <v>2461</v>
      </c>
      <c r="H166" s="301" t="s">
        <v>2498</v>
      </c>
      <c r="I166" s="301" t="s">
        <v>2500</v>
      </c>
      <c r="J166" s="301" t="s">
        <v>2960</v>
      </c>
      <c r="K166" s="198" t="s">
        <v>3087</v>
      </c>
      <c r="L166" s="200" t="s">
        <v>2998</v>
      </c>
      <c r="M166" s="201" t="s">
        <v>4184</v>
      </c>
      <c r="N166" s="309" t="s">
        <v>2584</v>
      </c>
      <c r="O166" s="301"/>
      <c r="P166" s="301"/>
      <c r="Q166" s="301"/>
      <c r="R166" s="301"/>
      <c r="S166" s="301"/>
      <c r="T166" s="301" t="s">
        <v>256</v>
      </c>
      <c r="U166" s="301"/>
      <c r="V166" s="301" t="s">
        <v>256</v>
      </c>
      <c r="W166" s="301" t="s">
        <v>256</v>
      </c>
      <c r="X166" s="177" t="s">
        <v>2959</v>
      </c>
    </row>
    <row r="167" spans="1:24" ht="16.95" customHeight="1">
      <c r="A167" s="206" t="s">
        <v>2082</v>
      </c>
      <c r="B167" s="303">
        <v>2</v>
      </c>
      <c r="C167" s="303" t="s">
        <v>4553</v>
      </c>
      <c r="D167" s="303" t="s">
        <v>256</v>
      </c>
      <c r="E167" s="303"/>
      <c r="F167" s="207" t="s">
        <v>5971</v>
      </c>
      <c r="G167" s="206" t="s">
        <v>2475</v>
      </c>
      <c r="H167" s="303" t="s">
        <v>2498</v>
      </c>
      <c r="I167" s="303" t="s">
        <v>2500</v>
      </c>
      <c r="J167" s="303" t="s">
        <v>2960</v>
      </c>
      <c r="K167" s="206" t="s">
        <v>3088</v>
      </c>
      <c r="L167" s="208" t="s">
        <v>2465</v>
      </c>
      <c r="M167" s="209" t="s">
        <v>4185</v>
      </c>
      <c r="N167" s="311" t="s">
        <v>2605</v>
      </c>
      <c r="O167" s="303" t="s">
        <v>256</v>
      </c>
      <c r="P167" s="303"/>
      <c r="Q167" s="303" t="s">
        <v>256</v>
      </c>
      <c r="R167" s="303"/>
      <c r="S167" s="303" t="s">
        <v>256</v>
      </c>
      <c r="T167" s="303"/>
      <c r="U167" s="303"/>
      <c r="V167" s="303"/>
      <c r="W167" s="303"/>
      <c r="X167" s="177" t="s">
        <v>2959</v>
      </c>
    </row>
    <row r="168" spans="1:24" ht="16.95" customHeight="1">
      <c r="A168" s="206" t="s">
        <v>2059</v>
      </c>
      <c r="B168" s="303">
        <v>2</v>
      </c>
      <c r="C168" s="303" t="s">
        <v>2440</v>
      </c>
      <c r="D168" s="303"/>
      <c r="E168" s="303" t="s">
        <v>256</v>
      </c>
      <c r="F168" s="207" t="s">
        <v>5971</v>
      </c>
      <c r="G168" s="206" t="s">
        <v>2475</v>
      </c>
      <c r="H168" s="303" t="s">
        <v>2498</v>
      </c>
      <c r="I168" s="303" t="s">
        <v>2500</v>
      </c>
      <c r="J168" s="303" t="s">
        <v>2960</v>
      </c>
      <c r="K168" s="206" t="s">
        <v>3089</v>
      </c>
      <c r="L168" s="208" t="s">
        <v>2998</v>
      </c>
      <c r="M168" s="209" t="s">
        <v>4186</v>
      </c>
      <c r="N168" s="311" t="s">
        <v>2600</v>
      </c>
      <c r="O168" s="303" t="s">
        <v>256</v>
      </c>
      <c r="P168" s="303" t="s">
        <v>256</v>
      </c>
      <c r="Q168" s="303" t="s">
        <v>256</v>
      </c>
      <c r="R168" s="303" t="s">
        <v>256</v>
      </c>
      <c r="S168" s="303" t="s">
        <v>256</v>
      </c>
      <c r="T168" s="303"/>
      <c r="U168" s="303"/>
      <c r="V168" s="303" t="s">
        <v>256</v>
      </c>
      <c r="W168" s="303"/>
      <c r="X168" s="177" t="s">
        <v>2959</v>
      </c>
    </row>
    <row r="169" spans="1:24" ht="16.95" customHeight="1">
      <c r="A169" s="210" t="s">
        <v>2204</v>
      </c>
      <c r="B169" s="304">
        <v>2</v>
      </c>
      <c r="C169" s="304" t="s">
        <v>4555</v>
      </c>
      <c r="D169" s="304" t="s">
        <v>256</v>
      </c>
      <c r="E169" s="304"/>
      <c r="F169" s="211" t="s">
        <v>2438</v>
      </c>
      <c r="G169" s="210" t="s">
        <v>2452</v>
      </c>
      <c r="H169" s="304" t="s">
        <v>2498</v>
      </c>
      <c r="I169" s="304" t="s">
        <v>2500</v>
      </c>
      <c r="J169" s="304" t="s">
        <v>2960</v>
      </c>
      <c r="K169" s="210" t="s">
        <v>3090</v>
      </c>
      <c r="L169" s="212" t="s">
        <v>2612</v>
      </c>
      <c r="M169" s="213" t="s">
        <v>4187</v>
      </c>
      <c r="N169" s="312" t="s">
        <v>2603</v>
      </c>
      <c r="O169" s="304" t="s">
        <v>256</v>
      </c>
      <c r="P169" s="304"/>
      <c r="Q169" s="304"/>
      <c r="R169" s="304"/>
      <c r="S169" s="304"/>
      <c r="T169" s="304"/>
      <c r="U169" s="304"/>
      <c r="V169" s="304" t="s">
        <v>256</v>
      </c>
      <c r="W169" s="304" t="s">
        <v>256</v>
      </c>
      <c r="X169" s="177" t="s">
        <v>2959</v>
      </c>
    </row>
    <row r="170" spans="1:24" ht="16.95" customHeight="1">
      <c r="A170" s="198" t="s">
        <v>2065</v>
      </c>
      <c r="B170" s="301">
        <v>2</v>
      </c>
      <c r="C170" s="301" t="s">
        <v>2425</v>
      </c>
      <c r="D170" s="301"/>
      <c r="E170" s="301" t="s">
        <v>256</v>
      </c>
      <c r="F170" s="199" t="s">
        <v>6007</v>
      </c>
      <c r="G170" s="198" t="s">
        <v>2467</v>
      </c>
      <c r="H170" s="301" t="s">
        <v>2498</v>
      </c>
      <c r="I170" s="301" t="s">
        <v>2500</v>
      </c>
      <c r="J170" s="301"/>
      <c r="K170" s="198"/>
      <c r="L170" s="200" t="s">
        <v>3013</v>
      </c>
      <c r="M170" s="201" t="s">
        <v>4188</v>
      </c>
      <c r="N170" s="309" t="s">
        <v>2607</v>
      </c>
      <c r="O170" s="301"/>
      <c r="P170" s="301"/>
      <c r="Q170" s="301"/>
      <c r="R170" s="301" t="s">
        <v>256</v>
      </c>
      <c r="S170" s="301" t="s">
        <v>3078</v>
      </c>
      <c r="T170" s="301" t="s">
        <v>3078</v>
      </c>
      <c r="U170" s="301"/>
      <c r="V170" s="301" t="s">
        <v>256</v>
      </c>
      <c r="W170" s="301" t="s">
        <v>256</v>
      </c>
      <c r="X170" s="177" t="s">
        <v>2959</v>
      </c>
    </row>
    <row r="171" spans="1:24" ht="16.95" customHeight="1">
      <c r="A171" s="198" t="s">
        <v>2220</v>
      </c>
      <c r="B171" s="301">
        <v>2</v>
      </c>
      <c r="C171" s="301" t="s">
        <v>2425</v>
      </c>
      <c r="D171" s="301"/>
      <c r="E171" s="301" t="s">
        <v>256</v>
      </c>
      <c r="F171" s="199" t="s">
        <v>5971</v>
      </c>
      <c r="G171" s="198" t="s">
        <v>2452</v>
      </c>
      <c r="H171" s="301" t="s">
        <v>2498</v>
      </c>
      <c r="I171" s="301" t="s">
        <v>2500</v>
      </c>
      <c r="J171" s="301" t="s">
        <v>2960</v>
      </c>
      <c r="K171" s="198" t="s">
        <v>3091</v>
      </c>
      <c r="L171" s="200" t="s">
        <v>2964</v>
      </c>
      <c r="M171" s="201" t="s">
        <v>4189</v>
      </c>
      <c r="N171" s="309" t="s">
        <v>3092</v>
      </c>
      <c r="O171" s="301"/>
      <c r="P171" s="301"/>
      <c r="Q171" s="301"/>
      <c r="R171" s="301"/>
      <c r="S171" s="301"/>
      <c r="T171" s="301" t="s">
        <v>256</v>
      </c>
      <c r="U171" s="301"/>
      <c r="V171" s="301" t="s">
        <v>256</v>
      </c>
      <c r="W171" s="301"/>
      <c r="X171" s="177" t="s">
        <v>2963</v>
      </c>
    </row>
    <row r="172" spans="1:24" ht="16.95" customHeight="1">
      <c r="A172" s="190" t="s">
        <v>2342</v>
      </c>
      <c r="B172" s="299">
        <v>2</v>
      </c>
      <c r="C172" s="299" t="s">
        <v>2429</v>
      </c>
      <c r="D172" s="299"/>
      <c r="E172" s="299"/>
      <c r="F172" s="191" t="s">
        <v>5971</v>
      </c>
      <c r="G172" s="190" t="s">
        <v>2463</v>
      </c>
      <c r="H172" s="299" t="s">
        <v>2498</v>
      </c>
      <c r="I172" s="299" t="s">
        <v>2500</v>
      </c>
      <c r="J172" s="299" t="s">
        <v>2960</v>
      </c>
      <c r="K172" s="190" t="s">
        <v>3093</v>
      </c>
      <c r="L172" s="192" t="s">
        <v>2465</v>
      </c>
      <c r="M172" s="193" t="s">
        <v>4190</v>
      </c>
      <c r="N172" s="307" t="s">
        <v>3094</v>
      </c>
      <c r="O172" s="299"/>
      <c r="P172" s="299"/>
      <c r="Q172" s="299"/>
      <c r="R172" s="299"/>
      <c r="S172" s="299"/>
      <c r="T172" s="299"/>
      <c r="U172" s="299"/>
      <c r="V172" s="299" t="s">
        <v>256</v>
      </c>
      <c r="W172" s="299"/>
      <c r="X172" s="177" t="s">
        <v>2959</v>
      </c>
    </row>
    <row r="173" spans="1:24" ht="16.95" customHeight="1">
      <c r="A173" s="206" t="s">
        <v>2121</v>
      </c>
      <c r="B173" s="303">
        <v>2</v>
      </c>
      <c r="C173" s="303" t="s">
        <v>2440</v>
      </c>
      <c r="D173" s="303"/>
      <c r="E173" s="303" t="s">
        <v>256</v>
      </c>
      <c r="F173" s="207" t="s">
        <v>5971</v>
      </c>
      <c r="G173" s="206" t="s">
        <v>2461</v>
      </c>
      <c r="H173" s="303"/>
      <c r="I173" s="303" t="s">
        <v>2500</v>
      </c>
      <c r="J173" s="303"/>
      <c r="K173" s="206"/>
      <c r="L173" s="208" t="s">
        <v>3013</v>
      </c>
      <c r="M173" s="209" t="s">
        <v>4191</v>
      </c>
      <c r="N173" s="311" t="s">
        <v>2565</v>
      </c>
      <c r="O173" s="303"/>
      <c r="P173" s="303"/>
      <c r="Q173" s="303"/>
      <c r="R173" s="303"/>
      <c r="S173" s="303"/>
      <c r="T173" s="303" t="s">
        <v>256</v>
      </c>
      <c r="U173" s="303" t="s">
        <v>256</v>
      </c>
      <c r="V173" s="303" t="s">
        <v>256</v>
      </c>
      <c r="W173" s="303"/>
      <c r="X173" s="177" t="s">
        <v>2963</v>
      </c>
    </row>
    <row r="174" spans="1:24" ht="16.95" customHeight="1">
      <c r="A174" s="210" t="s">
        <v>2134</v>
      </c>
      <c r="B174" s="304">
        <v>2</v>
      </c>
      <c r="C174" s="304" t="s">
        <v>2450</v>
      </c>
      <c r="D174" s="304"/>
      <c r="E174" s="304"/>
      <c r="F174" s="211" t="s">
        <v>5971</v>
      </c>
      <c r="G174" s="210" t="s">
        <v>2475</v>
      </c>
      <c r="H174" s="304" t="s">
        <v>2498</v>
      </c>
      <c r="I174" s="304" t="s">
        <v>2500</v>
      </c>
      <c r="J174" s="304"/>
      <c r="K174" s="210"/>
      <c r="L174" s="212" t="s">
        <v>2438</v>
      </c>
      <c r="M174" s="213" t="s">
        <v>4192</v>
      </c>
      <c r="N174" s="312" t="s">
        <v>2578</v>
      </c>
      <c r="O174" s="304" t="s">
        <v>3078</v>
      </c>
      <c r="P174" s="304"/>
      <c r="Q174" s="304"/>
      <c r="R174" s="304"/>
      <c r="S174" s="304"/>
      <c r="T174" s="304" t="s">
        <v>256</v>
      </c>
      <c r="U174" s="304" t="s">
        <v>256</v>
      </c>
      <c r="V174" s="304" t="s">
        <v>256</v>
      </c>
      <c r="W174" s="304"/>
      <c r="X174" s="177" t="s">
        <v>2959</v>
      </c>
    </row>
    <row r="175" spans="1:24" ht="16.95" customHeight="1">
      <c r="A175" s="182" t="s">
        <v>2138</v>
      </c>
      <c r="B175" s="297">
        <v>2</v>
      </c>
      <c r="C175" s="297" t="s">
        <v>2443</v>
      </c>
      <c r="D175" s="297"/>
      <c r="E175" s="297"/>
      <c r="F175" s="183" t="s">
        <v>6007</v>
      </c>
      <c r="G175" s="182" t="s">
        <v>2475</v>
      </c>
      <c r="H175" s="297" t="s">
        <v>2498</v>
      </c>
      <c r="I175" s="297"/>
      <c r="J175" s="297"/>
      <c r="K175" s="182"/>
      <c r="L175" s="184" t="s">
        <v>2465</v>
      </c>
      <c r="M175" s="185" t="s">
        <v>4193</v>
      </c>
      <c r="N175" s="305" t="s">
        <v>2579</v>
      </c>
      <c r="O175" s="297"/>
      <c r="P175" s="297"/>
      <c r="Q175" s="297"/>
      <c r="R175" s="297"/>
      <c r="S175" s="297"/>
      <c r="T175" s="297" t="s">
        <v>256</v>
      </c>
      <c r="U175" s="297" t="s">
        <v>256</v>
      </c>
      <c r="V175" s="297" t="s">
        <v>256</v>
      </c>
      <c r="W175" s="297"/>
      <c r="X175" s="177" t="s">
        <v>2959</v>
      </c>
    </row>
    <row r="176" spans="1:24" ht="16.95" customHeight="1">
      <c r="A176" s="190" t="s">
        <v>2235</v>
      </c>
      <c r="B176" s="299">
        <v>2</v>
      </c>
      <c r="C176" s="299" t="s">
        <v>2429</v>
      </c>
      <c r="D176" s="299"/>
      <c r="E176" s="299" t="s">
        <v>256</v>
      </c>
      <c r="F176" s="191" t="s">
        <v>5971</v>
      </c>
      <c r="G176" s="190" t="s">
        <v>2435</v>
      </c>
      <c r="H176" s="299" t="s">
        <v>2498</v>
      </c>
      <c r="I176" s="299" t="s">
        <v>2500</v>
      </c>
      <c r="J176" s="299" t="s">
        <v>2960</v>
      </c>
      <c r="K176" s="190" t="s">
        <v>3095</v>
      </c>
      <c r="L176" s="192" t="s">
        <v>2964</v>
      </c>
      <c r="M176" s="193" t="s">
        <v>4194</v>
      </c>
      <c r="N176" s="307" t="s">
        <v>2630</v>
      </c>
      <c r="O176" s="299"/>
      <c r="P176" s="299"/>
      <c r="Q176" s="299" t="s">
        <v>256</v>
      </c>
      <c r="R176" s="299"/>
      <c r="S176" s="299"/>
      <c r="T176" s="299"/>
      <c r="U176" s="299"/>
      <c r="V176" s="299"/>
      <c r="W176" s="299"/>
      <c r="X176" s="177" t="s">
        <v>2959</v>
      </c>
    </row>
    <row r="177" spans="1:24" ht="16.95" customHeight="1">
      <c r="A177" s="210" t="s">
        <v>2344</v>
      </c>
      <c r="B177" s="304">
        <v>2</v>
      </c>
      <c r="C177" s="304" t="s">
        <v>2450</v>
      </c>
      <c r="D177" s="304"/>
      <c r="E177" s="304"/>
      <c r="F177" s="211" t="s">
        <v>5971</v>
      </c>
      <c r="G177" s="210" t="s">
        <v>2467</v>
      </c>
      <c r="H177" s="304" t="s">
        <v>2498</v>
      </c>
      <c r="I177" s="304" t="s">
        <v>2500</v>
      </c>
      <c r="J177" s="304" t="s">
        <v>2960</v>
      </c>
      <c r="K177" s="210" t="s">
        <v>3096</v>
      </c>
      <c r="L177" s="212" t="s">
        <v>2448</v>
      </c>
      <c r="M177" s="213" t="s">
        <v>4195</v>
      </c>
      <c r="N177" s="312" t="s">
        <v>3097</v>
      </c>
      <c r="O177" s="304"/>
      <c r="P177" s="304"/>
      <c r="Q177" s="304"/>
      <c r="R177" s="304"/>
      <c r="S177" s="304"/>
      <c r="T177" s="304"/>
      <c r="U177" s="304"/>
      <c r="V177" s="304" t="s">
        <v>256</v>
      </c>
      <c r="W177" s="304"/>
      <c r="X177" s="177" t="s">
        <v>2959</v>
      </c>
    </row>
    <row r="178" spans="1:24" ht="16.95" customHeight="1">
      <c r="A178" s="186" t="s">
        <v>2102</v>
      </c>
      <c r="B178" s="298">
        <v>2</v>
      </c>
      <c r="C178" s="298" t="s">
        <v>2433</v>
      </c>
      <c r="D178" s="298"/>
      <c r="E178" s="298" t="s">
        <v>256</v>
      </c>
      <c r="F178" s="187" t="s">
        <v>5971</v>
      </c>
      <c r="G178" s="186" t="s">
        <v>2475</v>
      </c>
      <c r="H178" s="298" t="s">
        <v>2498</v>
      </c>
      <c r="I178" s="298" t="s">
        <v>2500</v>
      </c>
      <c r="J178" s="298" t="s">
        <v>2960</v>
      </c>
      <c r="K178" s="186" t="s">
        <v>3098</v>
      </c>
      <c r="L178" s="188" t="s">
        <v>3013</v>
      </c>
      <c r="M178" s="189" t="s">
        <v>4196</v>
      </c>
      <c r="N178" s="306" t="s">
        <v>2626</v>
      </c>
      <c r="O178" s="298"/>
      <c r="P178" s="298"/>
      <c r="Q178" s="298" t="s">
        <v>256</v>
      </c>
      <c r="R178" s="298"/>
      <c r="S178" s="298" t="s">
        <v>256</v>
      </c>
      <c r="T178" s="298"/>
      <c r="U178" s="298"/>
      <c r="V178" s="298"/>
      <c r="W178" s="298"/>
      <c r="X178" s="177" t="s">
        <v>2959</v>
      </c>
    </row>
    <row r="179" spans="1:24" ht="16.95" customHeight="1">
      <c r="A179" s="210" t="s">
        <v>2181</v>
      </c>
      <c r="B179" s="304">
        <v>2</v>
      </c>
      <c r="C179" s="304" t="s">
        <v>2450</v>
      </c>
      <c r="D179" s="304"/>
      <c r="E179" s="304" t="s">
        <v>256</v>
      </c>
      <c r="F179" s="211" t="s">
        <v>5971</v>
      </c>
      <c r="G179" s="210" t="s">
        <v>2461</v>
      </c>
      <c r="H179" s="304" t="s">
        <v>2498</v>
      </c>
      <c r="I179" s="304" t="s">
        <v>2500</v>
      </c>
      <c r="J179" s="304" t="s">
        <v>2960</v>
      </c>
      <c r="K179" s="210" t="s">
        <v>3099</v>
      </c>
      <c r="L179" s="212" t="s">
        <v>2964</v>
      </c>
      <c r="M179" s="213" t="s">
        <v>4197</v>
      </c>
      <c r="N179" s="312" t="s">
        <v>2593</v>
      </c>
      <c r="O179" s="304" t="s">
        <v>256</v>
      </c>
      <c r="P179" s="304"/>
      <c r="Q179" s="304"/>
      <c r="R179" s="304"/>
      <c r="S179" s="304"/>
      <c r="T179" s="304" t="s">
        <v>256</v>
      </c>
      <c r="U179" s="304"/>
      <c r="V179" s="304" t="s">
        <v>256</v>
      </c>
      <c r="W179" s="304"/>
      <c r="X179" s="177" t="s">
        <v>2959</v>
      </c>
    </row>
    <row r="180" spans="1:24" ht="16.95" customHeight="1">
      <c r="A180" s="190" t="s">
        <v>2133</v>
      </c>
      <c r="B180" s="299">
        <v>2</v>
      </c>
      <c r="C180" s="299" t="s">
        <v>2429</v>
      </c>
      <c r="D180" s="299"/>
      <c r="E180" s="299"/>
      <c r="F180" s="191" t="s">
        <v>2428</v>
      </c>
      <c r="G180" s="190" t="s">
        <v>2452</v>
      </c>
      <c r="H180" s="299" t="s">
        <v>2498</v>
      </c>
      <c r="I180" s="299"/>
      <c r="J180" s="299"/>
      <c r="K180" s="190"/>
      <c r="L180" s="192" t="s">
        <v>2465</v>
      </c>
      <c r="M180" s="193" t="s">
        <v>4198</v>
      </c>
      <c r="N180" s="307" t="s">
        <v>2617</v>
      </c>
      <c r="O180" s="299"/>
      <c r="P180" s="299" t="s">
        <v>256</v>
      </c>
      <c r="Q180" s="299"/>
      <c r="R180" s="299" t="s">
        <v>3078</v>
      </c>
      <c r="S180" s="299"/>
      <c r="T180" s="299"/>
      <c r="U180" s="299"/>
      <c r="V180" s="299"/>
      <c r="W180" s="299"/>
      <c r="X180" s="177" t="s">
        <v>2959</v>
      </c>
    </row>
    <row r="181" spans="1:24" ht="16.95" customHeight="1">
      <c r="A181" s="186" t="s">
        <v>2078</v>
      </c>
      <c r="B181" s="298">
        <v>2</v>
      </c>
      <c r="C181" s="298" t="s">
        <v>2433</v>
      </c>
      <c r="D181" s="298"/>
      <c r="E181" s="298"/>
      <c r="F181" s="187" t="s">
        <v>5971</v>
      </c>
      <c r="G181" s="186" t="s">
        <v>2467</v>
      </c>
      <c r="H181" s="298" t="s">
        <v>2498</v>
      </c>
      <c r="I181" s="298" t="s">
        <v>2500</v>
      </c>
      <c r="J181" s="298"/>
      <c r="K181" s="186"/>
      <c r="L181" s="188" t="s">
        <v>2434</v>
      </c>
      <c r="M181" s="189" t="s">
        <v>4199</v>
      </c>
      <c r="N181" s="306" t="s">
        <v>2615</v>
      </c>
      <c r="O181" s="298"/>
      <c r="P181" s="298" t="s">
        <v>256</v>
      </c>
      <c r="Q181" s="298" t="s">
        <v>256</v>
      </c>
      <c r="R181" s="298" t="s">
        <v>256</v>
      </c>
      <c r="S181" s="298" t="s">
        <v>256</v>
      </c>
      <c r="T181" s="298"/>
      <c r="U181" s="298"/>
      <c r="V181" s="298"/>
      <c r="W181" s="298" t="s">
        <v>256</v>
      </c>
      <c r="X181" s="177" t="s">
        <v>2959</v>
      </c>
    </row>
    <row r="182" spans="1:24" ht="16.95" customHeight="1">
      <c r="A182" s="198" t="s">
        <v>2126</v>
      </c>
      <c r="B182" s="301">
        <v>2</v>
      </c>
      <c r="C182" s="301" t="s">
        <v>2425</v>
      </c>
      <c r="D182" s="301"/>
      <c r="E182" s="301"/>
      <c r="F182" s="199" t="s">
        <v>5971</v>
      </c>
      <c r="G182" s="198" t="s">
        <v>2461</v>
      </c>
      <c r="H182" s="301" t="s">
        <v>2498</v>
      </c>
      <c r="I182" s="301" t="s">
        <v>2500</v>
      </c>
      <c r="J182" s="301"/>
      <c r="K182" s="198"/>
      <c r="L182" s="200" t="s">
        <v>2465</v>
      </c>
      <c r="M182" s="201" t="s">
        <v>4200</v>
      </c>
      <c r="N182" s="309" t="s">
        <v>2568</v>
      </c>
      <c r="O182" s="301" t="s">
        <v>256</v>
      </c>
      <c r="P182" s="301"/>
      <c r="Q182" s="301"/>
      <c r="R182" s="301"/>
      <c r="S182" s="301"/>
      <c r="T182" s="301" t="s">
        <v>256</v>
      </c>
      <c r="U182" s="301"/>
      <c r="V182" s="301" t="s">
        <v>256</v>
      </c>
      <c r="W182" s="301" t="s">
        <v>256</v>
      </c>
      <c r="X182" s="177" t="s">
        <v>2963</v>
      </c>
    </row>
    <row r="183" spans="1:24" ht="16.95" customHeight="1">
      <c r="A183" s="194" t="s">
        <v>2118</v>
      </c>
      <c r="B183" s="300">
        <v>2</v>
      </c>
      <c r="C183" s="300" t="s">
        <v>2437</v>
      </c>
      <c r="D183" s="300"/>
      <c r="E183" s="300" t="s">
        <v>256</v>
      </c>
      <c r="F183" s="195" t="s">
        <v>5971</v>
      </c>
      <c r="G183" s="194" t="s">
        <v>2461</v>
      </c>
      <c r="H183" s="300" t="s">
        <v>2498</v>
      </c>
      <c r="I183" s="300" t="s">
        <v>2500</v>
      </c>
      <c r="J183" s="300"/>
      <c r="K183" s="194"/>
      <c r="L183" s="196" t="s">
        <v>2964</v>
      </c>
      <c r="M183" s="197" t="s">
        <v>4201</v>
      </c>
      <c r="N183" s="308" t="s">
        <v>2575</v>
      </c>
      <c r="O183" s="300"/>
      <c r="P183" s="300"/>
      <c r="Q183" s="300"/>
      <c r="R183" s="300"/>
      <c r="S183" s="300"/>
      <c r="T183" s="300"/>
      <c r="U183" s="300" t="s">
        <v>256</v>
      </c>
      <c r="V183" s="300" t="s">
        <v>256</v>
      </c>
      <c r="W183" s="300"/>
      <c r="X183" s="177" t="s">
        <v>2959</v>
      </c>
    </row>
    <row r="184" spans="1:24" ht="16.95" customHeight="1">
      <c r="A184" s="198" t="s">
        <v>2346</v>
      </c>
      <c r="B184" s="301">
        <v>2</v>
      </c>
      <c r="C184" s="301" t="s">
        <v>2425</v>
      </c>
      <c r="D184" s="301"/>
      <c r="E184" s="301"/>
      <c r="F184" s="199" t="s">
        <v>5971</v>
      </c>
      <c r="G184" s="198" t="s">
        <v>2467</v>
      </c>
      <c r="H184" s="301" t="s">
        <v>2498</v>
      </c>
      <c r="I184" s="301" t="s">
        <v>2500</v>
      </c>
      <c r="J184" s="301" t="s">
        <v>2960</v>
      </c>
      <c r="K184" s="198" t="s">
        <v>3100</v>
      </c>
      <c r="L184" s="200" t="s">
        <v>2434</v>
      </c>
      <c r="M184" s="201" t="s">
        <v>4542</v>
      </c>
      <c r="N184" s="309" t="s">
        <v>2622</v>
      </c>
      <c r="O184" s="301"/>
      <c r="P184" s="301"/>
      <c r="Q184" s="301"/>
      <c r="R184" s="301"/>
      <c r="S184" s="301"/>
      <c r="T184" s="301"/>
      <c r="U184" s="301"/>
      <c r="V184" s="301" t="s">
        <v>256</v>
      </c>
      <c r="W184" s="301" t="s">
        <v>256</v>
      </c>
      <c r="X184" s="177" t="s">
        <v>2959</v>
      </c>
    </row>
    <row r="185" spans="1:24" ht="16.95" customHeight="1">
      <c r="A185" s="190" t="s">
        <v>2224</v>
      </c>
      <c r="B185" s="299">
        <v>2</v>
      </c>
      <c r="C185" s="299" t="s">
        <v>2429</v>
      </c>
      <c r="D185" s="299"/>
      <c r="E185" s="299"/>
      <c r="F185" s="191" t="s">
        <v>5971</v>
      </c>
      <c r="G185" s="190" t="s">
        <v>2435</v>
      </c>
      <c r="H185" s="299" t="s">
        <v>2498</v>
      </c>
      <c r="I185" s="299" t="s">
        <v>2500</v>
      </c>
      <c r="J185" s="299"/>
      <c r="K185" s="190"/>
      <c r="L185" s="192" t="s">
        <v>2465</v>
      </c>
      <c r="M185" s="193" t="s">
        <v>4202</v>
      </c>
      <c r="N185" s="307" t="s">
        <v>2576</v>
      </c>
      <c r="O185" s="299"/>
      <c r="P185" s="299"/>
      <c r="Q185" s="299"/>
      <c r="R185" s="299"/>
      <c r="S185" s="299"/>
      <c r="T185" s="299" t="s">
        <v>256</v>
      </c>
      <c r="U185" s="299"/>
      <c r="V185" s="299" t="s">
        <v>256</v>
      </c>
      <c r="W185" s="299"/>
      <c r="X185" s="177" t="s">
        <v>2959</v>
      </c>
    </row>
    <row r="186" spans="1:24" ht="16.95" customHeight="1">
      <c r="A186" s="206" t="s">
        <v>2184</v>
      </c>
      <c r="B186" s="303">
        <v>2</v>
      </c>
      <c r="C186" s="303" t="s">
        <v>2440</v>
      </c>
      <c r="D186" s="303"/>
      <c r="E186" s="303"/>
      <c r="F186" s="207" t="s">
        <v>5971</v>
      </c>
      <c r="G186" s="206" t="s">
        <v>2475</v>
      </c>
      <c r="H186" s="303" t="s">
        <v>2498</v>
      </c>
      <c r="I186" s="303" t="s">
        <v>2500</v>
      </c>
      <c r="J186" s="303" t="s">
        <v>2960</v>
      </c>
      <c r="K186" s="206" t="s">
        <v>3101</v>
      </c>
      <c r="L186" s="208" t="s">
        <v>2434</v>
      </c>
      <c r="M186" s="209" t="s">
        <v>4203</v>
      </c>
      <c r="N186" s="311" t="s">
        <v>2594</v>
      </c>
      <c r="O186" s="303" t="s">
        <v>256</v>
      </c>
      <c r="P186" s="303"/>
      <c r="Q186" s="303"/>
      <c r="R186" s="303"/>
      <c r="S186" s="303"/>
      <c r="T186" s="303" t="s">
        <v>256</v>
      </c>
      <c r="U186" s="303"/>
      <c r="V186" s="303" t="s">
        <v>256</v>
      </c>
      <c r="W186" s="303" t="s">
        <v>256</v>
      </c>
      <c r="X186" s="177" t="s">
        <v>2959</v>
      </c>
    </row>
    <row r="187" spans="1:24" ht="16.95" customHeight="1">
      <c r="A187" s="210" t="s">
        <v>2125</v>
      </c>
      <c r="B187" s="304">
        <v>2</v>
      </c>
      <c r="C187" s="304" t="s">
        <v>2450</v>
      </c>
      <c r="D187" s="304"/>
      <c r="E187" s="304" t="s">
        <v>256</v>
      </c>
      <c r="F187" s="211" t="s">
        <v>6007</v>
      </c>
      <c r="G187" s="210" t="s">
        <v>2475</v>
      </c>
      <c r="H187" s="304" t="s">
        <v>2498</v>
      </c>
      <c r="I187" s="304" t="s">
        <v>2500</v>
      </c>
      <c r="J187" s="304"/>
      <c r="K187" s="210"/>
      <c r="L187" s="212" t="s">
        <v>2964</v>
      </c>
      <c r="M187" s="213" t="s">
        <v>4204</v>
      </c>
      <c r="N187" s="312" t="s">
        <v>2566</v>
      </c>
      <c r="O187" s="304"/>
      <c r="P187" s="304"/>
      <c r="Q187" s="304"/>
      <c r="R187" s="304"/>
      <c r="S187" s="304"/>
      <c r="T187" s="304" t="s">
        <v>256</v>
      </c>
      <c r="U187" s="304" t="s">
        <v>256</v>
      </c>
      <c r="V187" s="304" t="s">
        <v>256</v>
      </c>
      <c r="W187" s="304"/>
      <c r="X187" s="177" t="s">
        <v>2963</v>
      </c>
    </row>
    <row r="188" spans="1:24" ht="16.95" customHeight="1">
      <c r="A188" s="190" t="s">
        <v>2163</v>
      </c>
      <c r="B188" s="299">
        <v>2</v>
      </c>
      <c r="C188" s="299" t="s">
        <v>2429</v>
      </c>
      <c r="D188" s="299"/>
      <c r="E188" s="299"/>
      <c r="F188" s="191" t="s">
        <v>5971</v>
      </c>
      <c r="G188" s="190" t="s">
        <v>2461</v>
      </c>
      <c r="H188" s="299" t="s">
        <v>2498</v>
      </c>
      <c r="I188" s="299" t="s">
        <v>2500</v>
      </c>
      <c r="J188" s="299" t="s">
        <v>2960</v>
      </c>
      <c r="K188" s="190" t="s">
        <v>3102</v>
      </c>
      <c r="L188" s="192" t="s">
        <v>2465</v>
      </c>
      <c r="M188" s="193" t="s">
        <v>4205</v>
      </c>
      <c r="N188" s="307" t="s">
        <v>2590</v>
      </c>
      <c r="O188" s="299" t="s">
        <v>256</v>
      </c>
      <c r="P188" s="299"/>
      <c r="Q188" s="299"/>
      <c r="R188" s="299"/>
      <c r="S188" s="299"/>
      <c r="T188" s="299" t="s">
        <v>256</v>
      </c>
      <c r="U188" s="299" t="s">
        <v>256</v>
      </c>
      <c r="V188" s="299" t="s">
        <v>256</v>
      </c>
      <c r="W188" s="299"/>
      <c r="X188" s="177" t="s">
        <v>2959</v>
      </c>
    </row>
    <row r="189" spans="1:24" ht="16.95" customHeight="1">
      <c r="A189" s="210" t="s">
        <v>2067</v>
      </c>
      <c r="B189" s="304">
        <v>2</v>
      </c>
      <c r="C189" s="304" t="s">
        <v>4555</v>
      </c>
      <c r="D189" s="304" t="s">
        <v>256</v>
      </c>
      <c r="E189" s="304" t="s">
        <v>256</v>
      </c>
      <c r="F189" s="211" t="s">
        <v>5971</v>
      </c>
      <c r="G189" s="210" t="s">
        <v>2435</v>
      </c>
      <c r="H189" s="304" t="s">
        <v>2498</v>
      </c>
      <c r="I189" s="304" t="s">
        <v>2500</v>
      </c>
      <c r="J189" s="304"/>
      <c r="K189" s="210"/>
      <c r="L189" s="212" t="s">
        <v>2998</v>
      </c>
      <c r="M189" s="213" t="s">
        <v>4206</v>
      </c>
      <c r="N189" s="312" t="s">
        <v>2595</v>
      </c>
      <c r="O189" s="304" t="s">
        <v>256</v>
      </c>
      <c r="P189" s="304" t="s">
        <v>256</v>
      </c>
      <c r="Q189" s="304"/>
      <c r="R189" s="304"/>
      <c r="S189" s="304" t="s">
        <v>256</v>
      </c>
      <c r="T189" s="304"/>
      <c r="U189" s="304"/>
      <c r="V189" s="304"/>
      <c r="W189" s="304"/>
      <c r="X189" s="177" t="s">
        <v>2959</v>
      </c>
    </row>
    <row r="190" spans="1:24" ht="16.95" customHeight="1">
      <c r="A190" s="198" t="s">
        <v>3103</v>
      </c>
      <c r="B190" s="301">
        <v>2</v>
      </c>
      <c r="C190" s="301" t="s">
        <v>4556</v>
      </c>
      <c r="D190" s="301" t="s">
        <v>256</v>
      </c>
      <c r="E190" s="301" t="s">
        <v>256</v>
      </c>
      <c r="F190" s="199" t="s">
        <v>5971</v>
      </c>
      <c r="G190" s="198" t="s">
        <v>2470</v>
      </c>
      <c r="H190" s="301" t="s">
        <v>2498</v>
      </c>
      <c r="I190" s="301" t="s">
        <v>2500</v>
      </c>
      <c r="J190" s="301"/>
      <c r="K190" s="198"/>
      <c r="L190" s="200" t="s">
        <v>3013</v>
      </c>
      <c r="M190" s="201" t="s">
        <v>4207</v>
      </c>
      <c r="N190" s="309" t="s">
        <v>2570</v>
      </c>
      <c r="O190" s="301" t="s">
        <v>256</v>
      </c>
      <c r="P190" s="301"/>
      <c r="Q190" s="301" t="s">
        <v>256</v>
      </c>
      <c r="R190" s="301"/>
      <c r="S190" s="301"/>
      <c r="T190" s="301"/>
      <c r="U190" s="301"/>
      <c r="V190" s="301" t="s">
        <v>256</v>
      </c>
      <c r="W190" s="301" t="s">
        <v>256</v>
      </c>
      <c r="X190" s="177" t="s">
        <v>2963</v>
      </c>
    </row>
    <row r="191" spans="1:24" ht="16.95" customHeight="1">
      <c r="A191" s="190" t="s">
        <v>2229</v>
      </c>
      <c r="B191" s="299">
        <v>2</v>
      </c>
      <c r="C191" s="299" t="s">
        <v>2429</v>
      </c>
      <c r="D191" s="299"/>
      <c r="E191" s="299"/>
      <c r="F191" s="191" t="s">
        <v>5971</v>
      </c>
      <c r="G191" s="190" t="s">
        <v>2463</v>
      </c>
      <c r="H191" s="299" t="s">
        <v>2498</v>
      </c>
      <c r="I191" s="299" t="s">
        <v>2500</v>
      </c>
      <c r="J191" s="299" t="s">
        <v>2960</v>
      </c>
      <c r="K191" s="190" t="s">
        <v>3104</v>
      </c>
      <c r="L191" s="192" t="s">
        <v>2465</v>
      </c>
      <c r="M191" s="193" t="s">
        <v>4208</v>
      </c>
      <c r="N191" s="307" t="s">
        <v>3105</v>
      </c>
      <c r="O191" s="299"/>
      <c r="P191" s="299"/>
      <c r="Q191" s="299"/>
      <c r="R191" s="299"/>
      <c r="S191" s="299"/>
      <c r="T191" s="299" t="s">
        <v>256</v>
      </c>
      <c r="U191" s="299"/>
      <c r="V191" s="299" t="s">
        <v>256</v>
      </c>
      <c r="W191" s="299"/>
      <c r="X191" s="177" t="s">
        <v>2963</v>
      </c>
    </row>
    <row r="192" spans="1:24" ht="16.95" customHeight="1">
      <c r="A192" s="198" t="s">
        <v>2142</v>
      </c>
      <c r="B192" s="301">
        <v>2</v>
      </c>
      <c r="C192" s="301" t="s">
        <v>2425</v>
      </c>
      <c r="D192" s="301"/>
      <c r="E192" s="301" t="s">
        <v>256</v>
      </c>
      <c r="F192" s="199" t="s">
        <v>5971</v>
      </c>
      <c r="G192" s="198" t="s">
        <v>2467</v>
      </c>
      <c r="H192" s="301" t="s">
        <v>2498</v>
      </c>
      <c r="I192" s="301" t="s">
        <v>2500</v>
      </c>
      <c r="J192" s="301" t="s">
        <v>2960</v>
      </c>
      <c r="K192" s="198" t="s">
        <v>3106</v>
      </c>
      <c r="L192" s="200" t="s">
        <v>2998</v>
      </c>
      <c r="M192" s="201" t="s">
        <v>4209</v>
      </c>
      <c r="N192" s="309" t="s">
        <v>2580</v>
      </c>
      <c r="O192" s="301"/>
      <c r="P192" s="301"/>
      <c r="Q192" s="301"/>
      <c r="R192" s="301"/>
      <c r="S192" s="301"/>
      <c r="T192" s="301" t="s">
        <v>256</v>
      </c>
      <c r="U192" s="301" t="s">
        <v>256</v>
      </c>
      <c r="V192" s="301" t="s">
        <v>256</v>
      </c>
      <c r="W192" s="301" t="s">
        <v>256</v>
      </c>
      <c r="X192" s="177" t="s">
        <v>2959</v>
      </c>
    </row>
    <row r="193" spans="1:24" ht="16.95" customHeight="1">
      <c r="A193" s="198" t="s">
        <v>2106</v>
      </c>
      <c r="B193" s="301">
        <v>2</v>
      </c>
      <c r="C193" s="301" t="s">
        <v>2425</v>
      </c>
      <c r="D193" s="301"/>
      <c r="E193" s="301" t="s">
        <v>256</v>
      </c>
      <c r="F193" s="199" t="s">
        <v>5971</v>
      </c>
      <c r="G193" s="198" t="s">
        <v>2467</v>
      </c>
      <c r="H193" s="301" t="s">
        <v>2498</v>
      </c>
      <c r="I193" s="301" t="s">
        <v>2500</v>
      </c>
      <c r="J193" s="301" t="s">
        <v>2960</v>
      </c>
      <c r="K193" s="198" t="s">
        <v>3107</v>
      </c>
      <c r="L193" s="200" t="s">
        <v>2998</v>
      </c>
      <c r="M193" s="201" t="s">
        <v>4210</v>
      </c>
      <c r="N193" s="309" t="s">
        <v>2627</v>
      </c>
      <c r="O193" s="301"/>
      <c r="P193" s="301"/>
      <c r="Q193" s="301" t="s">
        <v>256</v>
      </c>
      <c r="R193" s="301"/>
      <c r="S193" s="301" t="s">
        <v>256</v>
      </c>
      <c r="T193" s="301"/>
      <c r="U193" s="301"/>
      <c r="V193" s="301"/>
      <c r="W193" s="301"/>
      <c r="X193" s="177" t="s">
        <v>2959</v>
      </c>
    </row>
    <row r="194" spans="1:24" ht="16.95" customHeight="1">
      <c r="A194" s="190" t="s">
        <v>2137</v>
      </c>
      <c r="B194" s="299">
        <v>2</v>
      </c>
      <c r="C194" s="299" t="s">
        <v>2429</v>
      </c>
      <c r="D194" s="299"/>
      <c r="E194" s="299"/>
      <c r="F194" s="191" t="s">
        <v>6007</v>
      </c>
      <c r="G194" s="190" t="s">
        <v>2461</v>
      </c>
      <c r="H194" s="299" t="s">
        <v>2498</v>
      </c>
      <c r="I194" s="299" t="s">
        <v>2500</v>
      </c>
      <c r="J194" s="299"/>
      <c r="K194" s="190"/>
      <c r="L194" s="192" t="s">
        <v>2438</v>
      </c>
      <c r="M194" s="193" t="s">
        <v>4211</v>
      </c>
      <c r="N194" s="307" t="s">
        <v>2618</v>
      </c>
      <c r="O194" s="299"/>
      <c r="P194" s="299" t="s">
        <v>256</v>
      </c>
      <c r="Q194" s="299"/>
      <c r="R194" s="299"/>
      <c r="S194" s="299"/>
      <c r="T194" s="299"/>
      <c r="U194" s="299"/>
      <c r="V194" s="299"/>
      <c r="W194" s="299"/>
      <c r="X194" s="177" t="s">
        <v>2959</v>
      </c>
    </row>
    <row r="195" spans="1:24" ht="16.95" customHeight="1">
      <c r="A195" s="202" t="s">
        <v>2167</v>
      </c>
      <c r="B195" s="302">
        <v>2</v>
      </c>
      <c r="C195" s="302" t="s">
        <v>2967</v>
      </c>
      <c r="D195" s="302"/>
      <c r="E195" s="302" t="s">
        <v>256</v>
      </c>
      <c r="F195" s="203" t="s">
        <v>5971</v>
      </c>
      <c r="G195" s="202" t="s">
        <v>2452</v>
      </c>
      <c r="H195" s="302" t="s">
        <v>2498</v>
      </c>
      <c r="I195" s="302"/>
      <c r="J195" s="302" t="s">
        <v>2960</v>
      </c>
      <c r="K195" s="202" t="s">
        <v>3108</v>
      </c>
      <c r="L195" s="204" t="s">
        <v>3109</v>
      </c>
      <c r="M195" s="205" t="s">
        <v>4212</v>
      </c>
      <c r="N195" s="310" t="s">
        <v>2591</v>
      </c>
      <c r="O195" s="302" t="s">
        <v>256</v>
      </c>
      <c r="P195" s="302"/>
      <c r="Q195" s="302"/>
      <c r="R195" s="302"/>
      <c r="S195" s="302"/>
      <c r="T195" s="302" t="s">
        <v>256</v>
      </c>
      <c r="U195" s="302" t="s">
        <v>256</v>
      </c>
      <c r="V195" s="302" t="s">
        <v>256</v>
      </c>
      <c r="W195" s="302"/>
      <c r="X195" s="177" t="s">
        <v>2959</v>
      </c>
    </row>
    <row r="196" spans="1:24" ht="16.95" customHeight="1">
      <c r="A196" s="182" t="s">
        <v>4722</v>
      </c>
      <c r="B196" s="297">
        <v>2</v>
      </c>
      <c r="C196" s="297" t="s">
        <v>2443</v>
      </c>
      <c r="D196" s="297"/>
      <c r="E196" s="297" t="s">
        <v>256</v>
      </c>
      <c r="F196" s="183" t="s">
        <v>5971</v>
      </c>
      <c r="G196" s="182" t="s">
        <v>2463</v>
      </c>
      <c r="H196" s="297" t="s">
        <v>2498</v>
      </c>
      <c r="I196" s="297" t="s">
        <v>2500</v>
      </c>
      <c r="J196" s="297" t="s">
        <v>2960</v>
      </c>
      <c r="K196" s="182" t="s">
        <v>3110</v>
      </c>
      <c r="L196" s="184" t="s">
        <v>3013</v>
      </c>
      <c r="M196" s="185" t="s">
        <v>5946</v>
      </c>
      <c r="N196" s="305" t="s">
        <v>2926</v>
      </c>
      <c r="O196" s="297"/>
      <c r="P196" s="297"/>
      <c r="Q196" s="297" t="s">
        <v>256</v>
      </c>
      <c r="R196" s="297"/>
      <c r="S196" s="297" t="s">
        <v>256</v>
      </c>
      <c r="T196" s="297"/>
      <c r="U196" s="297"/>
      <c r="V196" s="297"/>
      <c r="W196" s="297"/>
      <c r="X196" s="177" t="s">
        <v>2974</v>
      </c>
    </row>
    <row r="197" spans="1:24" ht="16.95" customHeight="1">
      <c r="A197" s="202" t="s">
        <v>2927</v>
      </c>
      <c r="B197" s="302">
        <v>2</v>
      </c>
      <c r="C197" s="302" t="s">
        <v>2967</v>
      </c>
      <c r="D197" s="302"/>
      <c r="E197" s="302"/>
      <c r="F197" s="203" t="s">
        <v>5971</v>
      </c>
      <c r="G197" s="202" t="s">
        <v>2463</v>
      </c>
      <c r="H197" s="302" t="s">
        <v>2498</v>
      </c>
      <c r="I197" s="302"/>
      <c r="J197" s="302"/>
      <c r="K197" s="202"/>
      <c r="L197" s="204" t="s">
        <v>2442</v>
      </c>
      <c r="M197" s="205" t="s">
        <v>4213</v>
      </c>
      <c r="N197" s="310" t="s">
        <v>3111</v>
      </c>
      <c r="O197" s="302"/>
      <c r="P197" s="302"/>
      <c r="Q197" s="302"/>
      <c r="R197" s="302"/>
      <c r="S197" s="302"/>
      <c r="T197" s="302" t="s">
        <v>256</v>
      </c>
      <c r="U197" s="302"/>
      <c r="V197" s="302" t="s">
        <v>256</v>
      </c>
      <c r="W197" s="302"/>
      <c r="X197" s="177" t="s">
        <v>2974</v>
      </c>
    </row>
    <row r="198" spans="1:24" ht="16.95" customHeight="1">
      <c r="A198" s="186" t="s">
        <v>2140</v>
      </c>
      <c r="B198" s="298">
        <v>2</v>
      </c>
      <c r="C198" s="298" t="s">
        <v>2433</v>
      </c>
      <c r="D198" s="298"/>
      <c r="E198" s="298"/>
      <c r="F198" s="187" t="s">
        <v>5971</v>
      </c>
      <c r="G198" s="186" t="s">
        <v>2467</v>
      </c>
      <c r="H198" s="298" t="s">
        <v>2498</v>
      </c>
      <c r="I198" s="298" t="s">
        <v>2500</v>
      </c>
      <c r="J198" s="298" t="s">
        <v>2960</v>
      </c>
      <c r="K198" s="186" t="s">
        <v>3112</v>
      </c>
      <c r="L198" s="188" t="s">
        <v>2434</v>
      </c>
      <c r="M198" s="189" t="s">
        <v>4214</v>
      </c>
      <c r="N198" s="306" t="s">
        <v>2619</v>
      </c>
      <c r="O198" s="298"/>
      <c r="P198" s="298" t="s">
        <v>256</v>
      </c>
      <c r="Q198" s="298"/>
      <c r="R198" s="298" t="s">
        <v>3078</v>
      </c>
      <c r="S198" s="298"/>
      <c r="T198" s="298"/>
      <c r="U198" s="298"/>
      <c r="V198" s="298"/>
      <c r="W198" s="298"/>
      <c r="X198" s="177" t="s">
        <v>2959</v>
      </c>
    </row>
    <row r="199" spans="1:24" ht="16.95" customHeight="1">
      <c r="A199" s="190" t="s">
        <v>2130</v>
      </c>
      <c r="B199" s="299">
        <v>2</v>
      </c>
      <c r="C199" s="299" t="s">
        <v>2429</v>
      </c>
      <c r="D199" s="299"/>
      <c r="E199" s="299" t="s">
        <v>256</v>
      </c>
      <c r="F199" s="191" t="s">
        <v>5971</v>
      </c>
      <c r="G199" s="190" t="s">
        <v>2475</v>
      </c>
      <c r="H199" s="299" t="s">
        <v>2498</v>
      </c>
      <c r="I199" s="299"/>
      <c r="J199" s="299"/>
      <c r="K199" s="190"/>
      <c r="L199" s="192" t="s">
        <v>2998</v>
      </c>
      <c r="M199" s="193" t="s">
        <v>4215</v>
      </c>
      <c r="N199" s="307" t="s">
        <v>2569</v>
      </c>
      <c r="O199" s="299" t="s">
        <v>256</v>
      </c>
      <c r="P199" s="299"/>
      <c r="Q199" s="299" t="s">
        <v>256</v>
      </c>
      <c r="R199" s="299"/>
      <c r="S199" s="299"/>
      <c r="T199" s="299" t="s">
        <v>256</v>
      </c>
      <c r="U199" s="299"/>
      <c r="V199" s="299" t="s">
        <v>256</v>
      </c>
      <c r="W199" s="299"/>
      <c r="X199" s="177" t="s">
        <v>2963</v>
      </c>
    </row>
    <row r="200" spans="1:24" ht="16.95" customHeight="1">
      <c r="A200" s="182" t="s">
        <v>2249</v>
      </c>
      <c r="B200" s="297">
        <v>2</v>
      </c>
      <c r="C200" s="297" t="s">
        <v>2443</v>
      </c>
      <c r="D200" s="297"/>
      <c r="E200" s="297" t="s">
        <v>256</v>
      </c>
      <c r="F200" s="183" t="s">
        <v>5971</v>
      </c>
      <c r="G200" s="182" t="s">
        <v>2461</v>
      </c>
      <c r="H200" s="297" t="s">
        <v>2498</v>
      </c>
      <c r="I200" s="297" t="s">
        <v>2500</v>
      </c>
      <c r="J200" s="297" t="s">
        <v>2960</v>
      </c>
      <c r="K200" s="182" t="s">
        <v>3113</v>
      </c>
      <c r="L200" s="184" t="s">
        <v>3013</v>
      </c>
      <c r="M200" s="185" t="s">
        <v>4216</v>
      </c>
      <c r="N200" s="305" t="s">
        <v>2585</v>
      </c>
      <c r="O200" s="297"/>
      <c r="P200" s="297"/>
      <c r="Q200" s="297"/>
      <c r="R200" s="297"/>
      <c r="S200" s="297"/>
      <c r="T200" s="297" t="s">
        <v>256</v>
      </c>
      <c r="U200" s="297"/>
      <c r="V200" s="297" t="s">
        <v>256</v>
      </c>
      <c r="W200" s="297" t="s">
        <v>256</v>
      </c>
      <c r="X200" s="177" t="s">
        <v>2959</v>
      </c>
    </row>
    <row r="201" spans="1:24" ht="16.95" customHeight="1">
      <c r="A201" s="182" t="s">
        <v>3114</v>
      </c>
      <c r="B201" s="297">
        <v>2</v>
      </c>
      <c r="C201" s="297" t="s">
        <v>4554</v>
      </c>
      <c r="D201" s="297" t="s">
        <v>256</v>
      </c>
      <c r="E201" s="297" t="s">
        <v>256</v>
      </c>
      <c r="F201" s="183" t="s">
        <v>5971</v>
      </c>
      <c r="G201" s="182" t="s">
        <v>2475</v>
      </c>
      <c r="H201" s="297"/>
      <c r="I201" s="297" t="s">
        <v>2500</v>
      </c>
      <c r="J201" s="297"/>
      <c r="K201" s="182"/>
      <c r="L201" s="184" t="s">
        <v>3013</v>
      </c>
      <c r="M201" s="185" t="s">
        <v>4217</v>
      </c>
      <c r="N201" s="305" t="s">
        <v>3115</v>
      </c>
      <c r="O201" s="297"/>
      <c r="P201" s="297"/>
      <c r="Q201" s="297"/>
      <c r="R201" s="297"/>
      <c r="S201" s="297"/>
      <c r="T201" s="297"/>
      <c r="U201" s="297"/>
      <c r="V201" s="297" t="s">
        <v>256</v>
      </c>
      <c r="W201" s="297"/>
      <c r="X201" s="177" t="s">
        <v>2979</v>
      </c>
    </row>
    <row r="202" spans="1:24" ht="16.95" customHeight="1">
      <c r="A202" s="202" t="s">
        <v>2056</v>
      </c>
      <c r="B202" s="302">
        <v>2</v>
      </c>
      <c r="C202" s="302" t="s">
        <v>2967</v>
      </c>
      <c r="D202" s="302"/>
      <c r="E202" s="302"/>
      <c r="F202" s="203" t="s">
        <v>5971</v>
      </c>
      <c r="G202" s="202" t="s">
        <v>2461</v>
      </c>
      <c r="H202" s="302" t="s">
        <v>2498</v>
      </c>
      <c r="I202" s="302" t="s">
        <v>2500</v>
      </c>
      <c r="J202" s="302"/>
      <c r="K202" s="202"/>
      <c r="L202" s="204" t="s">
        <v>2428</v>
      </c>
      <c r="M202" s="205" t="s">
        <v>4218</v>
      </c>
      <c r="N202" s="310" t="s">
        <v>2597</v>
      </c>
      <c r="O202" s="302" t="s">
        <v>256</v>
      </c>
      <c r="P202" s="302" t="s">
        <v>256</v>
      </c>
      <c r="Q202" s="302"/>
      <c r="R202" s="302" t="s">
        <v>256</v>
      </c>
      <c r="S202" s="302"/>
      <c r="T202" s="302"/>
      <c r="U202" s="302"/>
      <c r="V202" s="302"/>
      <c r="W202" s="302"/>
      <c r="X202" s="177" t="s">
        <v>2959</v>
      </c>
    </row>
    <row r="203" spans="1:24" ht="16.95" customHeight="1">
      <c r="A203" s="202" t="s">
        <v>1312</v>
      </c>
      <c r="B203" s="302">
        <v>2</v>
      </c>
      <c r="C203" s="302" t="s">
        <v>2967</v>
      </c>
      <c r="D203" s="302"/>
      <c r="E203" s="302"/>
      <c r="F203" s="203" t="s">
        <v>6062</v>
      </c>
      <c r="G203" s="202" t="s">
        <v>2475</v>
      </c>
      <c r="H203" s="302" t="s">
        <v>2498</v>
      </c>
      <c r="I203" s="302" t="s">
        <v>2500</v>
      </c>
      <c r="J203" s="302"/>
      <c r="K203" s="202"/>
      <c r="L203" s="204" t="s">
        <v>2465</v>
      </c>
      <c r="M203" s="205" t="s">
        <v>4219</v>
      </c>
      <c r="N203" s="310" t="s">
        <v>3116</v>
      </c>
      <c r="O203" s="302" t="s">
        <v>256</v>
      </c>
      <c r="P203" s="302"/>
      <c r="Q203" s="302"/>
      <c r="R203" s="302"/>
      <c r="S203" s="302"/>
      <c r="T203" s="302"/>
      <c r="U203" s="302"/>
      <c r="V203" s="302" t="s">
        <v>256</v>
      </c>
      <c r="W203" s="302"/>
      <c r="X203" s="385" t="s">
        <v>3049</v>
      </c>
    </row>
    <row r="204" spans="1:24" ht="16.95" customHeight="1">
      <c r="A204" s="202" t="s">
        <v>3117</v>
      </c>
      <c r="B204" s="302">
        <v>2</v>
      </c>
      <c r="C204" s="302" t="s">
        <v>2967</v>
      </c>
      <c r="D204" s="302"/>
      <c r="E204" s="302"/>
      <c r="F204" s="203" t="s">
        <v>5971</v>
      </c>
      <c r="G204" s="202" t="s">
        <v>2461</v>
      </c>
      <c r="H204" s="302"/>
      <c r="I204" s="302" t="s">
        <v>2500</v>
      </c>
      <c r="J204" s="302" t="s">
        <v>2960</v>
      </c>
      <c r="K204" s="202" t="s">
        <v>3118</v>
      </c>
      <c r="L204" s="204" t="s">
        <v>2438</v>
      </c>
      <c r="M204" s="205" t="s">
        <v>4220</v>
      </c>
      <c r="N204" s="310" t="s">
        <v>3119</v>
      </c>
      <c r="O204" s="302"/>
      <c r="P204" s="302"/>
      <c r="Q204" s="302"/>
      <c r="R204" s="302"/>
      <c r="S204" s="302"/>
      <c r="T204" s="302"/>
      <c r="U204" s="302"/>
      <c r="V204" s="302" t="s">
        <v>256</v>
      </c>
      <c r="W204" s="302"/>
      <c r="X204" s="385" t="s">
        <v>3049</v>
      </c>
    </row>
    <row r="205" spans="1:24" ht="16.95" customHeight="1">
      <c r="A205" s="210" t="s">
        <v>3120</v>
      </c>
      <c r="B205" s="304">
        <v>2</v>
      </c>
      <c r="C205" s="304" t="s">
        <v>2450</v>
      </c>
      <c r="D205" s="304"/>
      <c r="E205" s="304" t="s">
        <v>256</v>
      </c>
      <c r="F205" s="211" t="s">
        <v>5971</v>
      </c>
      <c r="G205" s="210" t="s">
        <v>2461</v>
      </c>
      <c r="H205" s="304" t="s">
        <v>2498</v>
      </c>
      <c r="I205" s="304" t="s">
        <v>2500</v>
      </c>
      <c r="J205" s="304" t="s">
        <v>2960</v>
      </c>
      <c r="K205" s="210" t="s">
        <v>3121</v>
      </c>
      <c r="L205" s="212" t="s">
        <v>2964</v>
      </c>
      <c r="M205" s="213" t="s">
        <v>4221</v>
      </c>
      <c r="N205" s="312" t="s">
        <v>3122</v>
      </c>
      <c r="O205" s="304" t="s">
        <v>256</v>
      </c>
      <c r="P205" s="304"/>
      <c r="Q205" s="304"/>
      <c r="R205" s="304"/>
      <c r="S205" s="304"/>
      <c r="T205" s="304" t="s">
        <v>256</v>
      </c>
      <c r="U205" s="304"/>
      <c r="V205" s="304" t="s">
        <v>256</v>
      </c>
      <c r="W205" s="304"/>
      <c r="X205" s="385" t="s">
        <v>3123</v>
      </c>
    </row>
    <row r="206" spans="1:24" ht="16.95" customHeight="1">
      <c r="A206" s="190" t="s">
        <v>3124</v>
      </c>
      <c r="B206" s="299">
        <v>2</v>
      </c>
      <c r="C206" s="299" t="s">
        <v>2429</v>
      </c>
      <c r="D206" s="299"/>
      <c r="E206" s="299"/>
      <c r="F206" s="191" t="s">
        <v>5971</v>
      </c>
      <c r="G206" s="190" t="s">
        <v>2489</v>
      </c>
      <c r="H206" s="299"/>
      <c r="I206" s="299" t="s">
        <v>2500</v>
      </c>
      <c r="J206" s="299" t="s">
        <v>2960</v>
      </c>
      <c r="K206" s="190" t="s">
        <v>3125</v>
      </c>
      <c r="L206" s="192" t="s">
        <v>2465</v>
      </c>
      <c r="M206" s="193" t="s">
        <v>4222</v>
      </c>
      <c r="N206" s="307" t="s">
        <v>3126</v>
      </c>
      <c r="O206" s="299"/>
      <c r="P206" s="299"/>
      <c r="Q206" s="299"/>
      <c r="R206" s="299"/>
      <c r="S206" s="299"/>
      <c r="T206" s="299" t="s">
        <v>256</v>
      </c>
      <c r="U206" s="299"/>
      <c r="V206" s="299" t="s">
        <v>256</v>
      </c>
      <c r="W206" s="299"/>
      <c r="X206" s="385" t="s">
        <v>3123</v>
      </c>
    </row>
    <row r="207" spans="1:24" ht="16.95" customHeight="1">
      <c r="A207" s="206" t="s">
        <v>3127</v>
      </c>
      <c r="B207" s="303">
        <v>2</v>
      </c>
      <c r="C207" s="303" t="s">
        <v>2440</v>
      </c>
      <c r="D207" s="303"/>
      <c r="E207" s="303"/>
      <c r="F207" s="207" t="s">
        <v>5971</v>
      </c>
      <c r="G207" s="206" t="s">
        <v>2475</v>
      </c>
      <c r="H207" s="303" t="s">
        <v>2498</v>
      </c>
      <c r="I207" s="303" t="s">
        <v>2500</v>
      </c>
      <c r="J207" s="303" t="s">
        <v>2960</v>
      </c>
      <c r="K207" s="206" t="s">
        <v>3128</v>
      </c>
      <c r="L207" s="208" t="s">
        <v>2434</v>
      </c>
      <c r="M207" s="209" t="s">
        <v>4223</v>
      </c>
      <c r="N207" s="311" t="s">
        <v>3129</v>
      </c>
      <c r="O207" s="303" t="s">
        <v>256</v>
      </c>
      <c r="P207" s="303" t="s">
        <v>256</v>
      </c>
      <c r="Q207" s="303"/>
      <c r="R207" s="303"/>
      <c r="S207" s="303"/>
      <c r="T207" s="303"/>
      <c r="U207" s="303" t="s">
        <v>256</v>
      </c>
      <c r="V207" s="303" t="s">
        <v>256</v>
      </c>
      <c r="W207" s="303"/>
      <c r="X207" s="385" t="s">
        <v>3055</v>
      </c>
    </row>
    <row r="208" spans="1:24" ht="16.95" customHeight="1">
      <c r="A208" s="198" t="s">
        <v>3130</v>
      </c>
      <c r="B208" s="301">
        <v>2</v>
      </c>
      <c r="C208" s="301" t="s">
        <v>2425</v>
      </c>
      <c r="D208" s="301"/>
      <c r="E208" s="301" t="s">
        <v>256</v>
      </c>
      <c r="F208" s="199" t="s">
        <v>6007</v>
      </c>
      <c r="G208" s="198" t="s">
        <v>2475</v>
      </c>
      <c r="H208" s="301"/>
      <c r="I208" s="301" t="s">
        <v>2500</v>
      </c>
      <c r="J208" s="301"/>
      <c r="K208" s="198"/>
      <c r="L208" s="200" t="s">
        <v>2964</v>
      </c>
      <c r="M208" s="201" t="s">
        <v>4224</v>
      </c>
      <c r="N208" s="309" t="s">
        <v>3131</v>
      </c>
      <c r="O208" s="301" t="s">
        <v>256</v>
      </c>
      <c r="P208" s="301"/>
      <c r="Q208" s="301"/>
      <c r="R208" s="301"/>
      <c r="S208" s="301"/>
      <c r="T208" s="301" t="s">
        <v>256</v>
      </c>
      <c r="U208" s="301"/>
      <c r="V208" s="301" t="s">
        <v>256</v>
      </c>
      <c r="W208" s="301" t="s">
        <v>256</v>
      </c>
      <c r="X208" s="385" t="s">
        <v>3055</v>
      </c>
    </row>
    <row r="209" spans="1:24" ht="16.95" customHeight="1">
      <c r="A209" s="182" t="s">
        <v>3132</v>
      </c>
      <c r="B209" s="297">
        <v>2</v>
      </c>
      <c r="C209" s="297" t="s">
        <v>2443</v>
      </c>
      <c r="D209" s="297"/>
      <c r="E209" s="297"/>
      <c r="F209" s="183" t="s">
        <v>5971</v>
      </c>
      <c r="G209" s="182" t="s">
        <v>2463</v>
      </c>
      <c r="H209" s="297" t="s">
        <v>2498</v>
      </c>
      <c r="I209" s="297" t="s">
        <v>2500</v>
      </c>
      <c r="J209" s="297"/>
      <c r="K209" s="182"/>
      <c r="L209" s="184" t="s">
        <v>2465</v>
      </c>
      <c r="M209" s="185" t="s">
        <v>6466</v>
      </c>
      <c r="N209" s="305" t="s">
        <v>3133</v>
      </c>
      <c r="O209" s="297"/>
      <c r="P209" s="297"/>
      <c r="Q209" s="297"/>
      <c r="R209" s="297"/>
      <c r="S209" s="297"/>
      <c r="T209" s="297" t="s">
        <v>256</v>
      </c>
      <c r="U209" s="297"/>
      <c r="V209" s="297" t="s">
        <v>256</v>
      </c>
      <c r="W209" s="297" t="s">
        <v>256</v>
      </c>
      <c r="X209" s="385" t="s">
        <v>3055</v>
      </c>
    </row>
    <row r="210" spans="1:24" ht="16.95" customHeight="1">
      <c r="A210" s="194" t="s">
        <v>3134</v>
      </c>
      <c r="B210" s="300">
        <v>2</v>
      </c>
      <c r="C210" s="300" t="s">
        <v>2437</v>
      </c>
      <c r="D210" s="300"/>
      <c r="E210" s="300"/>
      <c r="F210" s="195" t="s">
        <v>5971</v>
      </c>
      <c r="G210" s="194" t="s">
        <v>2461</v>
      </c>
      <c r="H210" s="300" t="s">
        <v>2498</v>
      </c>
      <c r="I210" s="300" t="s">
        <v>2500</v>
      </c>
      <c r="J210" s="300" t="s">
        <v>2960</v>
      </c>
      <c r="K210" s="194" t="s">
        <v>3135</v>
      </c>
      <c r="L210" s="196" t="s">
        <v>2465</v>
      </c>
      <c r="M210" s="197" t="s">
        <v>4225</v>
      </c>
      <c r="N210" s="308" t="s">
        <v>3136</v>
      </c>
      <c r="O210" s="300"/>
      <c r="P210" s="300"/>
      <c r="Q210" s="300" t="s">
        <v>3078</v>
      </c>
      <c r="R210" s="300"/>
      <c r="S210" s="300"/>
      <c r="T210" s="300" t="s">
        <v>256</v>
      </c>
      <c r="U210" s="300"/>
      <c r="V210" s="300" t="s">
        <v>256</v>
      </c>
      <c r="W210" s="300"/>
      <c r="X210" s="385" t="s">
        <v>3055</v>
      </c>
    </row>
    <row r="211" spans="1:24" ht="16.95" customHeight="1">
      <c r="A211" s="182" t="s">
        <v>3137</v>
      </c>
      <c r="B211" s="297">
        <v>2</v>
      </c>
      <c r="C211" s="297" t="s">
        <v>3138</v>
      </c>
      <c r="D211" s="297"/>
      <c r="E211" s="297"/>
      <c r="F211" s="183" t="s">
        <v>5971</v>
      </c>
      <c r="G211" s="182" t="s">
        <v>3139</v>
      </c>
      <c r="H211" s="297"/>
      <c r="I211" s="297" t="s">
        <v>2989</v>
      </c>
      <c r="J211" s="297"/>
      <c r="K211" s="182"/>
      <c r="L211" s="184" t="s">
        <v>3140</v>
      </c>
      <c r="M211" s="185" t="s">
        <v>4226</v>
      </c>
      <c r="N211" s="305" t="s">
        <v>3141</v>
      </c>
      <c r="O211" s="297"/>
      <c r="P211" s="297"/>
      <c r="Q211" s="297" t="s">
        <v>3078</v>
      </c>
      <c r="R211" s="297"/>
      <c r="S211" s="297" t="s">
        <v>256</v>
      </c>
      <c r="T211" s="297" t="s">
        <v>256</v>
      </c>
      <c r="U211" s="297"/>
      <c r="V211" s="297" t="s">
        <v>256</v>
      </c>
      <c r="W211" s="297" t="s">
        <v>256</v>
      </c>
      <c r="X211" s="385" t="s">
        <v>3142</v>
      </c>
    </row>
    <row r="212" spans="1:24" ht="16.95" customHeight="1">
      <c r="A212" s="182" t="s">
        <v>3143</v>
      </c>
      <c r="B212" s="297">
        <v>2</v>
      </c>
      <c r="C212" s="297" t="s">
        <v>3138</v>
      </c>
      <c r="D212" s="297"/>
      <c r="E212" s="297" t="s">
        <v>256</v>
      </c>
      <c r="F212" s="183" t="s">
        <v>3144</v>
      </c>
      <c r="G212" s="182" t="s">
        <v>3145</v>
      </c>
      <c r="H212" s="297" t="s">
        <v>3146</v>
      </c>
      <c r="I212" s="297" t="s">
        <v>2989</v>
      </c>
      <c r="J212" s="297"/>
      <c r="K212" s="182"/>
      <c r="L212" s="184" t="s">
        <v>3147</v>
      </c>
      <c r="M212" s="185" t="s">
        <v>5939</v>
      </c>
      <c r="N212" s="305" t="s">
        <v>3148</v>
      </c>
      <c r="O212" s="297"/>
      <c r="P212" s="297"/>
      <c r="Q212" s="297"/>
      <c r="R212" s="297"/>
      <c r="S212" s="297"/>
      <c r="T212" s="297"/>
      <c r="U212" s="297" t="s">
        <v>3078</v>
      </c>
      <c r="V212" s="297" t="s">
        <v>3078</v>
      </c>
      <c r="W212" s="297"/>
      <c r="X212" s="385" t="s">
        <v>3149</v>
      </c>
    </row>
    <row r="213" spans="1:24" ht="16.95" customHeight="1">
      <c r="A213" s="206" t="s">
        <v>3150</v>
      </c>
      <c r="B213" s="303">
        <v>2</v>
      </c>
      <c r="C213" s="303" t="s">
        <v>3151</v>
      </c>
      <c r="D213" s="303"/>
      <c r="E213" s="303" t="s">
        <v>256</v>
      </c>
      <c r="F213" s="207" t="s">
        <v>5971</v>
      </c>
      <c r="G213" s="206" t="s">
        <v>2945</v>
      </c>
      <c r="H213" s="303" t="s">
        <v>3146</v>
      </c>
      <c r="I213" s="303" t="s">
        <v>2989</v>
      </c>
      <c r="J213" s="303" t="s">
        <v>3152</v>
      </c>
      <c r="K213" s="206" t="s">
        <v>3153</v>
      </c>
      <c r="L213" s="208" t="s">
        <v>2944</v>
      </c>
      <c r="M213" s="209" t="s">
        <v>4227</v>
      </c>
      <c r="N213" s="311" t="s">
        <v>3154</v>
      </c>
      <c r="O213" s="303"/>
      <c r="P213" s="303"/>
      <c r="Q213" s="303"/>
      <c r="R213" s="303"/>
      <c r="S213" s="303"/>
      <c r="T213" s="303" t="s">
        <v>3078</v>
      </c>
      <c r="U213" s="303" t="s">
        <v>3078</v>
      </c>
      <c r="V213" s="303" t="s">
        <v>3078</v>
      </c>
      <c r="W213" s="303"/>
      <c r="X213" s="177" t="s">
        <v>3155</v>
      </c>
    </row>
    <row r="214" spans="1:24" ht="16.95" customHeight="1">
      <c r="A214" s="182" t="s">
        <v>3156</v>
      </c>
      <c r="B214" s="297">
        <v>2</v>
      </c>
      <c r="C214" s="297" t="s">
        <v>3138</v>
      </c>
      <c r="D214" s="297"/>
      <c r="E214" s="297"/>
      <c r="F214" s="183" t="s">
        <v>5971</v>
      </c>
      <c r="G214" s="182" t="s">
        <v>3157</v>
      </c>
      <c r="H214" s="297" t="s">
        <v>3146</v>
      </c>
      <c r="I214" s="297" t="s">
        <v>2989</v>
      </c>
      <c r="J214" s="297" t="s">
        <v>3152</v>
      </c>
      <c r="K214" s="182" t="s">
        <v>3158</v>
      </c>
      <c r="L214" s="184" t="s">
        <v>3159</v>
      </c>
      <c r="M214" s="185" t="s">
        <v>4228</v>
      </c>
      <c r="N214" s="305" t="s">
        <v>3160</v>
      </c>
      <c r="O214" s="297" t="s">
        <v>3078</v>
      </c>
      <c r="P214" s="297"/>
      <c r="Q214" s="297"/>
      <c r="R214" s="297"/>
      <c r="S214" s="297"/>
      <c r="T214" s="297" t="s">
        <v>3078</v>
      </c>
      <c r="U214" s="297" t="s">
        <v>3078</v>
      </c>
      <c r="V214" s="297" t="s">
        <v>3078</v>
      </c>
      <c r="W214" s="297"/>
      <c r="X214" s="177" t="s">
        <v>3161</v>
      </c>
    </row>
    <row r="215" spans="1:24" ht="16.95" customHeight="1">
      <c r="A215" s="194" t="s">
        <v>2194</v>
      </c>
      <c r="B215" s="300">
        <v>3</v>
      </c>
      <c r="C215" s="300" t="s">
        <v>2437</v>
      </c>
      <c r="D215" s="300"/>
      <c r="E215" s="300"/>
      <c r="F215" s="195" t="s">
        <v>2438</v>
      </c>
      <c r="G215" s="194" t="s">
        <v>2431</v>
      </c>
      <c r="H215" s="300" t="s">
        <v>2498</v>
      </c>
      <c r="I215" s="300" t="s">
        <v>2500</v>
      </c>
      <c r="J215" s="300" t="s">
        <v>2960</v>
      </c>
      <c r="K215" s="194" t="s">
        <v>3162</v>
      </c>
      <c r="L215" s="196" t="s">
        <v>2465</v>
      </c>
      <c r="M215" s="197" t="s">
        <v>4229</v>
      </c>
      <c r="N215" s="308" t="s">
        <v>2676</v>
      </c>
      <c r="O215" s="300"/>
      <c r="P215" s="300" t="s">
        <v>256</v>
      </c>
      <c r="Q215" s="300"/>
      <c r="R215" s="300"/>
      <c r="S215" s="300"/>
      <c r="T215" s="300"/>
      <c r="U215" s="300"/>
      <c r="V215" s="300" t="s">
        <v>256</v>
      </c>
      <c r="W215" s="300"/>
      <c r="X215" s="177" t="s">
        <v>2959</v>
      </c>
    </row>
    <row r="216" spans="1:24" ht="16.95" customHeight="1">
      <c r="A216" s="190" t="s">
        <v>2087</v>
      </c>
      <c r="B216" s="299">
        <v>3</v>
      </c>
      <c r="C216" s="299" t="s">
        <v>2429</v>
      </c>
      <c r="D216" s="299"/>
      <c r="E216" s="299" t="s">
        <v>256</v>
      </c>
      <c r="F216" s="191" t="s">
        <v>5971</v>
      </c>
      <c r="G216" s="190" t="s">
        <v>2488</v>
      </c>
      <c r="H216" s="299" t="s">
        <v>2498</v>
      </c>
      <c r="I216" s="299"/>
      <c r="J216" s="299"/>
      <c r="K216" s="190"/>
      <c r="L216" s="192" t="s">
        <v>2964</v>
      </c>
      <c r="M216" s="193" t="s">
        <v>4230</v>
      </c>
      <c r="N216" s="307" t="s">
        <v>2669</v>
      </c>
      <c r="O216" s="299"/>
      <c r="P216" s="299" t="s">
        <v>3078</v>
      </c>
      <c r="Q216" s="299" t="s">
        <v>3078</v>
      </c>
      <c r="R216" s="299" t="s">
        <v>256</v>
      </c>
      <c r="S216" s="299"/>
      <c r="T216" s="299"/>
      <c r="U216" s="299"/>
      <c r="V216" s="299"/>
      <c r="W216" s="299"/>
      <c r="X216" s="177" t="s">
        <v>2959</v>
      </c>
    </row>
    <row r="217" spans="1:24" ht="16.95" customHeight="1">
      <c r="A217" s="186" t="s">
        <v>2205</v>
      </c>
      <c r="B217" s="298">
        <v>3</v>
      </c>
      <c r="C217" s="298" t="s">
        <v>2433</v>
      </c>
      <c r="D217" s="298"/>
      <c r="E217" s="298" t="s">
        <v>256</v>
      </c>
      <c r="F217" s="187" t="s">
        <v>5971</v>
      </c>
      <c r="G217" s="186" t="s">
        <v>2452</v>
      </c>
      <c r="H217" s="298" t="s">
        <v>2498</v>
      </c>
      <c r="I217" s="298" t="s">
        <v>2500</v>
      </c>
      <c r="J217" s="298"/>
      <c r="K217" s="186"/>
      <c r="L217" s="188" t="s">
        <v>2964</v>
      </c>
      <c r="M217" s="189" t="s">
        <v>4231</v>
      </c>
      <c r="N217" s="306" t="s">
        <v>2681</v>
      </c>
      <c r="O217" s="298"/>
      <c r="P217" s="298" t="s">
        <v>256</v>
      </c>
      <c r="Q217" s="298"/>
      <c r="R217" s="298"/>
      <c r="S217" s="298"/>
      <c r="T217" s="298"/>
      <c r="U217" s="298"/>
      <c r="V217" s="298"/>
      <c r="W217" s="298"/>
      <c r="X217" s="177" t="s">
        <v>2959</v>
      </c>
    </row>
    <row r="218" spans="1:24" ht="16.95" customHeight="1">
      <c r="A218" s="194" t="s">
        <v>2156</v>
      </c>
      <c r="B218" s="300">
        <v>3</v>
      </c>
      <c r="C218" s="300" t="s">
        <v>2437</v>
      </c>
      <c r="D218" s="300"/>
      <c r="E218" s="300" t="s">
        <v>256</v>
      </c>
      <c r="F218" s="195" t="s">
        <v>5971</v>
      </c>
      <c r="G218" s="194" t="s">
        <v>2467</v>
      </c>
      <c r="H218" s="300" t="s">
        <v>2498</v>
      </c>
      <c r="I218" s="300" t="s">
        <v>2500</v>
      </c>
      <c r="J218" s="300"/>
      <c r="K218" s="194"/>
      <c r="L218" s="196" t="s">
        <v>2964</v>
      </c>
      <c r="M218" s="197" t="s">
        <v>4232</v>
      </c>
      <c r="N218" s="308" t="s">
        <v>2661</v>
      </c>
      <c r="O218" s="300" t="s">
        <v>256</v>
      </c>
      <c r="P218" s="300" t="s">
        <v>256</v>
      </c>
      <c r="Q218" s="300"/>
      <c r="R218" s="300"/>
      <c r="S218" s="300"/>
      <c r="T218" s="300"/>
      <c r="U218" s="300"/>
      <c r="V218" s="300" t="s">
        <v>256</v>
      </c>
      <c r="W218" s="300"/>
      <c r="X218" s="177" t="s">
        <v>2959</v>
      </c>
    </row>
    <row r="219" spans="1:24" ht="16.95" customHeight="1">
      <c r="A219" s="190" t="s">
        <v>2089</v>
      </c>
      <c r="B219" s="299">
        <v>3</v>
      </c>
      <c r="C219" s="299" t="s">
        <v>2429</v>
      </c>
      <c r="D219" s="299"/>
      <c r="E219" s="299" t="s">
        <v>256</v>
      </c>
      <c r="F219" s="191" t="s">
        <v>6007</v>
      </c>
      <c r="G219" s="190" t="s">
        <v>2475</v>
      </c>
      <c r="H219" s="299" t="s">
        <v>2498</v>
      </c>
      <c r="I219" s="299"/>
      <c r="J219" s="299"/>
      <c r="K219" s="190"/>
      <c r="L219" s="192" t="s">
        <v>2964</v>
      </c>
      <c r="M219" s="193" t="s">
        <v>4233</v>
      </c>
      <c r="N219" s="307" t="s">
        <v>2670</v>
      </c>
      <c r="O219" s="299"/>
      <c r="P219" s="299"/>
      <c r="Q219" s="299"/>
      <c r="R219" s="299" t="s">
        <v>256</v>
      </c>
      <c r="S219" s="299"/>
      <c r="T219" s="299"/>
      <c r="U219" s="299"/>
      <c r="V219" s="299" t="s">
        <v>256</v>
      </c>
      <c r="W219" s="299"/>
      <c r="X219" s="177" t="s">
        <v>2959</v>
      </c>
    </row>
    <row r="220" spans="1:24" ht="16.95" customHeight="1">
      <c r="A220" s="198" t="s">
        <v>2317</v>
      </c>
      <c r="B220" s="301">
        <v>3</v>
      </c>
      <c r="C220" s="301" t="s">
        <v>2425</v>
      </c>
      <c r="D220" s="301"/>
      <c r="E220" s="301"/>
      <c r="F220" s="199" t="s">
        <v>5971</v>
      </c>
      <c r="G220" s="198" t="s">
        <v>2475</v>
      </c>
      <c r="H220" s="301" t="s">
        <v>2498</v>
      </c>
      <c r="I220" s="301" t="s">
        <v>2500</v>
      </c>
      <c r="J220" s="301"/>
      <c r="K220" s="198"/>
      <c r="L220" s="200" t="s">
        <v>2438</v>
      </c>
      <c r="M220" s="201" t="s">
        <v>4234</v>
      </c>
      <c r="N220" s="309" t="s">
        <v>2649</v>
      </c>
      <c r="O220" s="301"/>
      <c r="P220" s="301"/>
      <c r="Q220" s="301"/>
      <c r="R220" s="301"/>
      <c r="S220" s="301"/>
      <c r="T220" s="301" t="s">
        <v>256</v>
      </c>
      <c r="U220" s="301"/>
      <c r="V220" s="301" t="s">
        <v>256</v>
      </c>
      <c r="W220" s="301" t="s">
        <v>256</v>
      </c>
      <c r="X220" s="177" t="s">
        <v>2959</v>
      </c>
    </row>
    <row r="221" spans="1:24" ht="16.95" customHeight="1">
      <c r="A221" s="182" t="s">
        <v>2284</v>
      </c>
      <c r="B221" s="297">
        <v>3</v>
      </c>
      <c r="C221" s="297" t="s">
        <v>2443</v>
      </c>
      <c r="D221" s="297"/>
      <c r="E221" s="297" t="s">
        <v>256</v>
      </c>
      <c r="F221" s="183" t="s">
        <v>5971</v>
      </c>
      <c r="G221" s="182" t="s">
        <v>2435</v>
      </c>
      <c r="H221" s="297" t="s">
        <v>2498</v>
      </c>
      <c r="I221" s="297" t="s">
        <v>2500</v>
      </c>
      <c r="J221" s="297"/>
      <c r="K221" s="182"/>
      <c r="L221" s="184" t="s">
        <v>2998</v>
      </c>
      <c r="M221" s="185" t="s">
        <v>4235</v>
      </c>
      <c r="N221" s="305" t="s">
        <v>3163</v>
      </c>
      <c r="O221" s="297"/>
      <c r="P221" s="297"/>
      <c r="Q221" s="297" t="s">
        <v>256</v>
      </c>
      <c r="R221" s="297"/>
      <c r="S221" s="297"/>
      <c r="T221" s="297"/>
      <c r="U221" s="297"/>
      <c r="V221" s="297"/>
      <c r="W221" s="297"/>
      <c r="X221" s="177" t="s">
        <v>2959</v>
      </c>
    </row>
    <row r="222" spans="1:24" ht="16.95" customHeight="1">
      <c r="A222" s="202" t="s">
        <v>2211</v>
      </c>
      <c r="B222" s="302">
        <v>3</v>
      </c>
      <c r="C222" s="302" t="s">
        <v>2967</v>
      </c>
      <c r="D222" s="302"/>
      <c r="E222" s="302"/>
      <c r="F222" s="203" t="s">
        <v>5971</v>
      </c>
      <c r="G222" s="202" t="s">
        <v>2452</v>
      </c>
      <c r="H222" s="302"/>
      <c r="I222" s="302" t="s">
        <v>2500</v>
      </c>
      <c r="J222" s="302" t="s">
        <v>2960</v>
      </c>
      <c r="K222" s="202" t="s">
        <v>3164</v>
      </c>
      <c r="L222" s="204" t="s">
        <v>2428</v>
      </c>
      <c r="M222" s="205" t="s">
        <v>4236</v>
      </c>
      <c r="N222" s="310" t="s">
        <v>2633</v>
      </c>
      <c r="O222" s="302" t="s">
        <v>256</v>
      </c>
      <c r="P222" s="302"/>
      <c r="Q222" s="302"/>
      <c r="R222" s="302"/>
      <c r="S222" s="302"/>
      <c r="T222" s="302" t="s">
        <v>256</v>
      </c>
      <c r="U222" s="302"/>
      <c r="V222" s="302" t="s">
        <v>256</v>
      </c>
      <c r="W222" s="302" t="s">
        <v>256</v>
      </c>
      <c r="X222" s="177" t="s">
        <v>2963</v>
      </c>
    </row>
    <row r="223" spans="1:24" ht="16.95" customHeight="1">
      <c r="A223" s="206" t="s">
        <v>2150</v>
      </c>
      <c r="B223" s="303">
        <v>3</v>
      </c>
      <c r="C223" s="303" t="s">
        <v>2440</v>
      </c>
      <c r="D223" s="303"/>
      <c r="E223" s="303" t="s">
        <v>256</v>
      </c>
      <c r="F223" s="207" t="s">
        <v>2428</v>
      </c>
      <c r="G223" s="206" t="s">
        <v>2445</v>
      </c>
      <c r="H223" s="303" t="s">
        <v>2498</v>
      </c>
      <c r="I223" s="303" t="s">
        <v>2500</v>
      </c>
      <c r="J223" s="303" t="s">
        <v>2960</v>
      </c>
      <c r="K223" s="206" t="s">
        <v>3165</v>
      </c>
      <c r="L223" s="208" t="s">
        <v>2998</v>
      </c>
      <c r="M223" s="209" t="s">
        <v>4237</v>
      </c>
      <c r="N223" s="311" t="s">
        <v>2660</v>
      </c>
      <c r="O223" s="303" t="s">
        <v>256</v>
      </c>
      <c r="P223" s="303" t="s">
        <v>256</v>
      </c>
      <c r="Q223" s="303"/>
      <c r="R223" s="303"/>
      <c r="S223" s="303"/>
      <c r="T223" s="303" t="s">
        <v>256</v>
      </c>
      <c r="U223" s="303"/>
      <c r="V223" s="303" t="s">
        <v>256</v>
      </c>
      <c r="W223" s="303"/>
      <c r="X223" s="177" t="s">
        <v>2959</v>
      </c>
    </row>
    <row r="224" spans="1:24" ht="16.95" customHeight="1">
      <c r="A224" s="182" t="s">
        <v>2154</v>
      </c>
      <c r="B224" s="297">
        <v>3</v>
      </c>
      <c r="C224" s="297" t="s">
        <v>2443</v>
      </c>
      <c r="D224" s="297"/>
      <c r="E224" s="297" t="s">
        <v>256</v>
      </c>
      <c r="F224" s="183" t="s">
        <v>5971</v>
      </c>
      <c r="G224" s="182" t="s">
        <v>2461</v>
      </c>
      <c r="H224" s="297" t="s">
        <v>2498</v>
      </c>
      <c r="I224" s="297" t="s">
        <v>2500</v>
      </c>
      <c r="J224" s="297"/>
      <c r="K224" s="182"/>
      <c r="L224" s="184" t="s">
        <v>3013</v>
      </c>
      <c r="M224" s="185" t="s">
        <v>4238</v>
      </c>
      <c r="N224" s="305" t="s">
        <v>2686</v>
      </c>
      <c r="O224" s="297"/>
      <c r="P224" s="297"/>
      <c r="Q224" s="297" t="s">
        <v>256</v>
      </c>
      <c r="R224" s="297"/>
      <c r="S224" s="297" t="s">
        <v>256</v>
      </c>
      <c r="T224" s="297"/>
      <c r="U224" s="297"/>
      <c r="V224" s="297"/>
      <c r="W224" s="297"/>
      <c r="X224" s="177" t="s">
        <v>2959</v>
      </c>
    </row>
    <row r="225" spans="1:24" ht="16.95" customHeight="1">
      <c r="A225" s="182" t="s">
        <v>2109</v>
      </c>
      <c r="B225" s="297">
        <v>3</v>
      </c>
      <c r="C225" s="297" t="s">
        <v>2443</v>
      </c>
      <c r="D225" s="297"/>
      <c r="E225" s="297"/>
      <c r="F225" s="183" t="s">
        <v>5971</v>
      </c>
      <c r="G225" s="182" t="s">
        <v>2493</v>
      </c>
      <c r="H225" s="297" t="s">
        <v>2498</v>
      </c>
      <c r="I225" s="297" t="s">
        <v>2500</v>
      </c>
      <c r="J225" s="297" t="s">
        <v>2960</v>
      </c>
      <c r="K225" s="182" t="s">
        <v>3166</v>
      </c>
      <c r="L225" s="184" t="s">
        <v>2465</v>
      </c>
      <c r="M225" s="185" t="s">
        <v>4239</v>
      </c>
      <c r="N225" s="305" t="s">
        <v>2642</v>
      </c>
      <c r="O225" s="297"/>
      <c r="P225" s="297"/>
      <c r="Q225" s="297"/>
      <c r="R225" s="297"/>
      <c r="S225" s="297" t="s">
        <v>256</v>
      </c>
      <c r="T225" s="297"/>
      <c r="U225" s="297"/>
      <c r="V225" s="297"/>
      <c r="W225" s="297"/>
      <c r="X225" s="177" t="s">
        <v>2959</v>
      </c>
    </row>
    <row r="226" spans="1:24" ht="16.95" customHeight="1">
      <c r="A226" s="186" t="s">
        <v>2192</v>
      </c>
      <c r="B226" s="298">
        <v>3</v>
      </c>
      <c r="C226" s="298" t="s">
        <v>2433</v>
      </c>
      <c r="D226" s="298"/>
      <c r="E226" s="298"/>
      <c r="F226" s="187" t="s">
        <v>6063</v>
      </c>
      <c r="G226" s="186" t="s">
        <v>2461</v>
      </c>
      <c r="H226" s="298"/>
      <c r="I226" s="298" t="s">
        <v>2500</v>
      </c>
      <c r="J226" s="298"/>
      <c r="K226" s="186"/>
      <c r="L226" s="188" t="s">
        <v>2465</v>
      </c>
      <c r="M226" s="189" t="s">
        <v>4240</v>
      </c>
      <c r="N226" s="306" t="s">
        <v>2646</v>
      </c>
      <c r="O226" s="298"/>
      <c r="P226" s="298"/>
      <c r="Q226" s="298"/>
      <c r="R226" s="298"/>
      <c r="S226" s="298"/>
      <c r="T226" s="298" t="s">
        <v>256</v>
      </c>
      <c r="U226" s="298" t="s">
        <v>256</v>
      </c>
      <c r="V226" s="298" t="s">
        <v>256</v>
      </c>
      <c r="W226" s="298"/>
      <c r="X226" s="177" t="s">
        <v>2959</v>
      </c>
    </row>
    <row r="227" spans="1:24" ht="16.95" customHeight="1">
      <c r="A227" s="182" t="s">
        <v>2103</v>
      </c>
      <c r="B227" s="297">
        <v>3</v>
      </c>
      <c r="C227" s="297" t="s">
        <v>2443</v>
      </c>
      <c r="D227" s="297"/>
      <c r="E227" s="297"/>
      <c r="F227" s="183" t="s">
        <v>5971</v>
      </c>
      <c r="G227" s="182" t="s">
        <v>2452</v>
      </c>
      <c r="H227" s="297" t="s">
        <v>2498</v>
      </c>
      <c r="I227" s="297" t="s">
        <v>2500</v>
      </c>
      <c r="J227" s="297"/>
      <c r="K227" s="182"/>
      <c r="L227" s="184" t="s">
        <v>2465</v>
      </c>
      <c r="M227" s="185" t="s">
        <v>4241</v>
      </c>
      <c r="N227" s="305" t="s">
        <v>2674</v>
      </c>
      <c r="O227" s="297"/>
      <c r="P227" s="297" t="s">
        <v>256</v>
      </c>
      <c r="Q227" s="297"/>
      <c r="R227" s="297" t="s">
        <v>256</v>
      </c>
      <c r="S227" s="297"/>
      <c r="T227" s="297"/>
      <c r="U227" s="297"/>
      <c r="V227" s="297"/>
      <c r="W227" s="297" t="s">
        <v>256</v>
      </c>
      <c r="X227" s="177" t="s">
        <v>2959</v>
      </c>
    </row>
    <row r="228" spans="1:24" ht="16.95" customHeight="1">
      <c r="A228" s="190" t="s">
        <v>2092</v>
      </c>
      <c r="B228" s="299">
        <v>3</v>
      </c>
      <c r="C228" s="299" t="s">
        <v>2429</v>
      </c>
      <c r="D228" s="299"/>
      <c r="E228" s="299" t="s">
        <v>256</v>
      </c>
      <c r="F228" s="191" t="s">
        <v>5971</v>
      </c>
      <c r="G228" s="190" t="s">
        <v>2475</v>
      </c>
      <c r="H228" s="299" t="s">
        <v>2498</v>
      </c>
      <c r="I228" s="299"/>
      <c r="J228" s="299"/>
      <c r="K228" s="190"/>
      <c r="L228" s="192" t="s">
        <v>2964</v>
      </c>
      <c r="M228" s="193" t="s">
        <v>4242</v>
      </c>
      <c r="N228" s="307" t="s">
        <v>3167</v>
      </c>
      <c r="O228" s="299"/>
      <c r="P228" s="299"/>
      <c r="Q228" s="299"/>
      <c r="R228" s="299" t="s">
        <v>256</v>
      </c>
      <c r="S228" s="299"/>
      <c r="T228" s="299"/>
      <c r="U228" s="299"/>
      <c r="V228" s="299"/>
      <c r="W228" s="299"/>
      <c r="X228" s="177" t="s">
        <v>2959</v>
      </c>
    </row>
    <row r="229" spans="1:24" ht="16.95" customHeight="1">
      <c r="A229" s="190" t="s">
        <v>2110</v>
      </c>
      <c r="B229" s="299">
        <v>3</v>
      </c>
      <c r="C229" s="299" t="s">
        <v>2429</v>
      </c>
      <c r="D229" s="299"/>
      <c r="E229" s="299"/>
      <c r="F229" s="191" t="s">
        <v>5971</v>
      </c>
      <c r="G229" s="190" t="s">
        <v>2461</v>
      </c>
      <c r="H229" s="299" t="s">
        <v>2498</v>
      </c>
      <c r="I229" s="299" t="s">
        <v>2500</v>
      </c>
      <c r="J229" s="299"/>
      <c r="K229" s="190"/>
      <c r="L229" s="192" t="s">
        <v>2434</v>
      </c>
      <c r="M229" s="193" t="s">
        <v>4243</v>
      </c>
      <c r="N229" s="307" t="s">
        <v>2679</v>
      </c>
      <c r="O229" s="299"/>
      <c r="P229" s="299" t="s">
        <v>256</v>
      </c>
      <c r="Q229" s="299" t="s">
        <v>256</v>
      </c>
      <c r="R229" s="299" t="s">
        <v>256</v>
      </c>
      <c r="S229" s="299" t="s">
        <v>256</v>
      </c>
      <c r="T229" s="299" t="s">
        <v>256</v>
      </c>
      <c r="U229" s="299"/>
      <c r="V229" s="299"/>
      <c r="W229" s="299"/>
      <c r="X229" s="177" t="s">
        <v>2959</v>
      </c>
    </row>
    <row r="230" spans="1:24" ht="16.95" customHeight="1">
      <c r="A230" s="186" t="s">
        <v>2083</v>
      </c>
      <c r="B230" s="298">
        <v>3</v>
      </c>
      <c r="C230" s="298" t="s">
        <v>2433</v>
      </c>
      <c r="D230" s="298"/>
      <c r="E230" s="298"/>
      <c r="F230" s="187" t="s">
        <v>5971</v>
      </c>
      <c r="G230" s="186" t="s">
        <v>2435</v>
      </c>
      <c r="H230" s="298" t="s">
        <v>2498</v>
      </c>
      <c r="I230" s="298" t="s">
        <v>2500</v>
      </c>
      <c r="J230" s="298"/>
      <c r="K230" s="186"/>
      <c r="L230" s="188" t="s">
        <v>2465</v>
      </c>
      <c r="M230" s="189" t="s">
        <v>4244</v>
      </c>
      <c r="N230" s="306" t="s">
        <v>2664</v>
      </c>
      <c r="O230" s="298" t="s">
        <v>256</v>
      </c>
      <c r="P230" s="298" t="s">
        <v>256</v>
      </c>
      <c r="Q230" s="298" t="s">
        <v>256</v>
      </c>
      <c r="R230" s="298" t="s">
        <v>256</v>
      </c>
      <c r="S230" s="298"/>
      <c r="T230" s="298" t="s">
        <v>256</v>
      </c>
      <c r="U230" s="298" t="s">
        <v>256</v>
      </c>
      <c r="V230" s="298" t="s">
        <v>256</v>
      </c>
      <c r="W230" s="298" t="s">
        <v>256</v>
      </c>
      <c r="X230" s="177" t="s">
        <v>2959</v>
      </c>
    </row>
    <row r="231" spans="1:24" ht="16.95" customHeight="1">
      <c r="A231" s="198" t="s">
        <v>2096</v>
      </c>
      <c r="B231" s="301">
        <v>3</v>
      </c>
      <c r="C231" s="301" t="s">
        <v>2425</v>
      </c>
      <c r="D231" s="301"/>
      <c r="E231" s="301" t="s">
        <v>256</v>
      </c>
      <c r="F231" s="199" t="s">
        <v>5971</v>
      </c>
      <c r="G231" s="198" t="s">
        <v>2467</v>
      </c>
      <c r="H231" s="301" t="s">
        <v>2498</v>
      </c>
      <c r="I231" s="301" t="s">
        <v>2500</v>
      </c>
      <c r="J231" s="301"/>
      <c r="K231" s="198"/>
      <c r="L231" s="200" t="s">
        <v>3013</v>
      </c>
      <c r="M231" s="201" t="s">
        <v>4245</v>
      </c>
      <c r="N231" s="309" t="s">
        <v>2671</v>
      </c>
      <c r="O231" s="301"/>
      <c r="P231" s="301"/>
      <c r="Q231" s="301" t="s">
        <v>3078</v>
      </c>
      <c r="R231" s="301" t="s">
        <v>256</v>
      </c>
      <c r="S231" s="301" t="s">
        <v>3078</v>
      </c>
      <c r="T231" s="301"/>
      <c r="U231" s="301"/>
      <c r="V231" s="301"/>
      <c r="W231" s="301" t="s">
        <v>256</v>
      </c>
      <c r="X231" s="177" t="s">
        <v>2959</v>
      </c>
    </row>
    <row r="232" spans="1:24" ht="16.95" customHeight="1">
      <c r="A232" s="202" t="s">
        <v>2199</v>
      </c>
      <c r="B232" s="302">
        <v>3</v>
      </c>
      <c r="C232" s="302" t="s">
        <v>2967</v>
      </c>
      <c r="D232" s="302"/>
      <c r="E232" s="302" t="s">
        <v>256</v>
      </c>
      <c r="F232" s="203" t="s">
        <v>5971</v>
      </c>
      <c r="G232" s="203" t="s">
        <v>3145</v>
      </c>
      <c r="H232" s="302" t="s">
        <v>2498</v>
      </c>
      <c r="I232" s="302" t="s">
        <v>2500</v>
      </c>
      <c r="J232" s="302"/>
      <c r="K232" s="202"/>
      <c r="L232" s="204" t="s">
        <v>2964</v>
      </c>
      <c r="M232" s="205" t="s">
        <v>4246</v>
      </c>
      <c r="N232" s="310" t="s">
        <v>2632</v>
      </c>
      <c r="O232" s="302" t="s">
        <v>256</v>
      </c>
      <c r="P232" s="302"/>
      <c r="Q232" s="302"/>
      <c r="R232" s="302"/>
      <c r="S232" s="302"/>
      <c r="T232" s="302" t="s">
        <v>256</v>
      </c>
      <c r="U232" s="302" t="s">
        <v>256</v>
      </c>
      <c r="V232" s="302" t="s">
        <v>256</v>
      </c>
      <c r="W232" s="302"/>
      <c r="X232" s="177" t="s">
        <v>2963</v>
      </c>
    </row>
    <row r="233" spans="1:24" ht="16.95" customHeight="1">
      <c r="A233" s="198" t="s">
        <v>2260</v>
      </c>
      <c r="B233" s="301">
        <v>3</v>
      </c>
      <c r="C233" s="301" t="s">
        <v>2425</v>
      </c>
      <c r="D233" s="301"/>
      <c r="E233" s="301"/>
      <c r="F233" s="199" t="s">
        <v>5971</v>
      </c>
      <c r="G233" s="198" t="s">
        <v>2435</v>
      </c>
      <c r="H233" s="301" t="s">
        <v>2498</v>
      </c>
      <c r="I233" s="301" t="s">
        <v>2500</v>
      </c>
      <c r="J233" s="301" t="s">
        <v>2960</v>
      </c>
      <c r="K233" s="198" t="s">
        <v>3168</v>
      </c>
      <c r="L233" s="200" t="s">
        <v>2465</v>
      </c>
      <c r="M233" s="201" t="s">
        <v>4247</v>
      </c>
      <c r="N233" s="309" t="s">
        <v>2639</v>
      </c>
      <c r="O233" s="301"/>
      <c r="P233" s="301"/>
      <c r="Q233" s="301" t="s">
        <v>256</v>
      </c>
      <c r="R233" s="301"/>
      <c r="S233" s="301"/>
      <c r="T233" s="301" t="s">
        <v>256</v>
      </c>
      <c r="U233" s="301"/>
      <c r="V233" s="301" t="s">
        <v>256</v>
      </c>
      <c r="W233" s="301"/>
      <c r="X233" s="177" t="s">
        <v>2963</v>
      </c>
    </row>
    <row r="234" spans="1:24" ht="16.95" customHeight="1">
      <c r="A234" s="210" t="s">
        <v>2201</v>
      </c>
      <c r="B234" s="304">
        <v>3</v>
      </c>
      <c r="C234" s="304" t="s">
        <v>2450</v>
      </c>
      <c r="D234" s="304"/>
      <c r="E234" s="304" t="s">
        <v>256</v>
      </c>
      <c r="F234" s="211" t="s">
        <v>5971</v>
      </c>
      <c r="G234" s="210" t="s">
        <v>2489</v>
      </c>
      <c r="H234" s="304" t="s">
        <v>2498</v>
      </c>
      <c r="I234" s="304" t="s">
        <v>2500</v>
      </c>
      <c r="J234" s="304" t="s">
        <v>2960</v>
      </c>
      <c r="K234" s="210" t="s">
        <v>3169</v>
      </c>
      <c r="L234" s="212" t="s">
        <v>2964</v>
      </c>
      <c r="M234" s="213" t="s">
        <v>4248</v>
      </c>
      <c r="N234" s="312" t="s">
        <v>2655</v>
      </c>
      <c r="O234" s="304" t="s">
        <v>256</v>
      </c>
      <c r="P234" s="304"/>
      <c r="Q234" s="304"/>
      <c r="R234" s="304"/>
      <c r="S234" s="304"/>
      <c r="T234" s="304" t="s">
        <v>256</v>
      </c>
      <c r="U234" s="304" t="s">
        <v>256</v>
      </c>
      <c r="V234" s="304" t="s">
        <v>256</v>
      </c>
      <c r="W234" s="304"/>
      <c r="X234" s="177" t="s">
        <v>2959</v>
      </c>
    </row>
    <row r="235" spans="1:24" ht="16.95" customHeight="1">
      <c r="A235" s="194" t="s">
        <v>2173</v>
      </c>
      <c r="B235" s="300">
        <v>3</v>
      </c>
      <c r="C235" s="300" t="s">
        <v>4558</v>
      </c>
      <c r="D235" s="300" t="s">
        <v>256</v>
      </c>
      <c r="E235" s="300"/>
      <c r="F235" s="195" t="s">
        <v>5971</v>
      </c>
      <c r="G235" s="194" t="s">
        <v>2467</v>
      </c>
      <c r="H235" s="300" t="s">
        <v>2498</v>
      </c>
      <c r="I235" s="300" t="s">
        <v>2500</v>
      </c>
      <c r="J235" s="300" t="s">
        <v>2960</v>
      </c>
      <c r="K235" s="194" t="s">
        <v>3170</v>
      </c>
      <c r="L235" s="196" t="s">
        <v>2434</v>
      </c>
      <c r="M235" s="197" t="s">
        <v>4249</v>
      </c>
      <c r="N235" s="308" t="s">
        <v>2665</v>
      </c>
      <c r="O235" s="300" t="s">
        <v>256</v>
      </c>
      <c r="P235" s="300" t="s">
        <v>256</v>
      </c>
      <c r="Q235" s="300" t="s">
        <v>256</v>
      </c>
      <c r="R235" s="300"/>
      <c r="S235" s="300"/>
      <c r="T235" s="300"/>
      <c r="U235" s="300"/>
      <c r="V235" s="300" t="s">
        <v>256</v>
      </c>
      <c r="W235" s="300"/>
      <c r="X235" s="177" t="s">
        <v>2959</v>
      </c>
    </row>
    <row r="236" spans="1:24" ht="16.95" customHeight="1">
      <c r="A236" s="190" t="s">
        <v>2319</v>
      </c>
      <c r="B236" s="299">
        <v>3</v>
      </c>
      <c r="C236" s="299" t="s">
        <v>2429</v>
      </c>
      <c r="D236" s="299"/>
      <c r="E236" s="299"/>
      <c r="F236" s="191" t="s">
        <v>5971</v>
      </c>
      <c r="G236" s="190" t="s">
        <v>2439</v>
      </c>
      <c r="H236" s="299" t="s">
        <v>2498</v>
      </c>
      <c r="I236" s="299" t="s">
        <v>2500</v>
      </c>
      <c r="J236" s="299" t="s">
        <v>2960</v>
      </c>
      <c r="K236" s="190" t="s">
        <v>3171</v>
      </c>
      <c r="L236" s="192" t="s">
        <v>2465</v>
      </c>
      <c r="M236" s="193" t="s">
        <v>4250</v>
      </c>
      <c r="N236" s="307" t="s">
        <v>2650</v>
      </c>
      <c r="O236" s="299"/>
      <c r="P236" s="299"/>
      <c r="Q236" s="299"/>
      <c r="R236" s="299"/>
      <c r="S236" s="299"/>
      <c r="T236" s="299" t="s">
        <v>256</v>
      </c>
      <c r="U236" s="299"/>
      <c r="V236" s="299" t="s">
        <v>256</v>
      </c>
      <c r="W236" s="299"/>
      <c r="X236" s="177" t="s">
        <v>2959</v>
      </c>
    </row>
    <row r="237" spans="1:24" ht="16.95" customHeight="1">
      <c r="A237" s="198" t="s">
        <v>2144</v>
      </c>
      <c r="B237" s="301">
        <v>3</v>
      </c>
      <c r="C237" s="301" t="s">
        <v>2425</v>
      </c>
      <c r="D237" s="301"/>
      <c r="E237" s="301" t="s">
        <v>256</v>
      </c>
      <c r="F237" s="199" t="s">
        <v>5971</v>
      </c>
      <c r="G237" s="198" t="s">
        <v>2467</v>
      </c>
      <c r="H237" s="301" t="s">
        <v>2498</v>
      </c>
      <c r="I237" s="301" t="s">
        <v>2500</v>
      </c>
      <c r="J237" s="301"/>
      <c r="K237" s="198"/>
      <c r="L237" s="200" t="s">
        <v>3013</v>
      </c>
      <c r="M237" s="201" t="s">
        <v>4251</v>
      </c>
      <c r="N237" s="309" t="s">
        <v>2638</v>
      </c>
      <c r="O237" s="301"/>
      <c r="P237" s="301"/>
      <c r="Q237" s="301" t="s">
        <v>256</v>
      </c>
      <c r="R237" s="301"/>
      <c r="S237" s="301" t="s">
        <v>256</v>
      </c>
      <c r="T237" s="301" t="s">
        <v>256</v>
      </c>
      <c r="U237" s="301"/>
      <c r="V237" s="301" t="s">
        <v>256</v>
      </c>
      <c r="W237" s="301" t="s">
        <v>256</v>
      </c>
      <c r="X237" s="177" t="s">
        <v>2963</v>
      </c>
    </row>
    <row r="238" spans="1:24" ht="16.95" customHeight="1">
      <c r="A238" s="198" t="s">
        <v>2195</v>
      </c>
      <c r="B238" s="301">
        <v>3</v>
      </c>
      <c r="C238" s="301" t="s">
        <v>2425</v>
      </c>
      <c r="D238" s="301"/>
      <c r="E238" s="301" t="s">
        <v>256</v>
      </c>
      <c r="F238" s="199" t="s">
        <v>5971</v>
      </c>
      <c r="G238" s="198" t="s">
        <v>2467</v>
      </c>
      <c r="H238" s="301" t="s">
        <v>2498</v>
      </c>
      <c r="I238" s="301" t="s">
        <v>2500</v>
      </c>
      <c r="J238" s="301" t="s">
        <v>2960</v>
      </c>
      <c r="K238" s="198" t="s">
        <v>3172</v>
      </c>
      <c r="L238" s="200" t="s">
        <v>2998</v>
      </c>
      <c r="M238" s="201" t="s">
        <v>4252</v>
      </c>
      <c r="N238" s="309" t="s">
        <v>2647</v>
      </c>
      <c r="O238" s="301"/>
      <c r="P238" s="301"/>
      <c r="Q238" s="301"/>
      <c r="R238" s="301"/>
      <c r="S238" s="301"/>
      <c r="T238" s="301" t="s">
        <v>256</v>
      </c>
      <c r="U238" s="301" t="s">
        <v>256</v>
      </c>
      <c r="V238" s="301" t="s">
        <v>256</v>
      </c>
      <c r="W238" s="301" t="s">
        <v>256</v>
      </c>
      <c r="X238" s="177" t="s">
        <v>2959</v>
      </c>
    </row>
    <row r="239" spans="1:24" ht="16.95" customHeight="1">
      <c r="A239" s="198" t="s">
        <v>2197</v>
      </c>
      <c r="B239" s="301">
        <v>3</v>
      </c>
      <c r="C239" s="301" t="s">
        <v>2425</v>
      </c>
      <c r="D239" s="301"/>
      <c r="E239" s="301" t="s">
        <v>256</v>
      </c>
      <c r="F239" s="199" t="s">
        <v>5971</v>
      </c>
      <c r="G239" s="198" t="s">
        <v>2467</v>
      </c>
      <c r="H239" s="301" t="s">
        <v>2498</v>
      </c>
      <c r="I239" s="301" t="s">
        <v>2500</v>
      </c>
      <c r="J239" s="301" t="s">
        <v>2960</v>
      </c>
      <c r="K239" s="198" t="s">
        <v>3173</v>
      </c>
      <c r="L239" s="200" t="s">
        <v>3013</v>
      </c>
      <c r="M239" s="201" t="s">
        <v>4253</v>
      </c>
      <c r="N239" s="309" t="s">
        <v>2648</v>
      </c>
      <c r="O239" s="301"/>
      <c r="P239" s="301"/>
      <c r="Q239" s="301"/>
      <c r="R239" s="301"/>
      <c r="S239" s="301"/>
      <c r="T239" s="301" t="s">
        <v>256</v>
      </c>
      <c r="U239" s="301" t="s">
        <v>256</v>
      </c>
      <c r="V239" s="301" t="s">
        <v>256</v>
      </c>
      <c r="W239" s="301"/>
      <c r="X239" s="177" t="s">
        <v>2959</v>
      </c>
    </row>
    <row r="240" spans="1:24" ht="16.95" customHeight="1">
      <c r="A240" s="186" t="s">
        <v>2161</v>
      </c>
      <c r="B240" s="298">
        <v>3</v>
      </c>
      <c r="C240" s="298" t="s">
        <v>2433</v>
      </c>
      <c r="D240" s="298"/>
      <c r="E240" s="298"/>
      <c r="F240" s="187" t="s">
        <v>2434</v>
      </c>
      <c r="G240" s="186" t="s">
        <v>2467</v>
      </c>
      <c r="H240" s="298" t="s">
        <v>2498</v>
      </c>
      <c r="I240" s="298" t="s">
        <v>2500</v>
      </c>
      <c r="J240" s="298" t="s">
        <v>2960</v>
      </c>
      <c r="K240" s="186" t="s">
        <v>3174</v>
      </c>
      <c r="L240" s="188" t="s">
        <v>2474</v>
      </c>
      <c r="M240" s="189" t="s">
        <v>4254</v>
      </c>
      <c r="N240" s="306" t="s">
        <v>2662</v>
      </c>
      <c r="O240" s="298" t="s">
        <v>256</v>
      </c>
      <c r="P240" s="298" t="s">
        <v>256</v>
      </c>
      <c r="Q240" s="298"/>
      <c r="R240" s="298"/>
      <c r="S240" s="298"/>
      <c r="T240" s="298"/>
      <c r="U240" s="298"/>
      <c r="V240" s="298" t="s">
        <v>256</v>
      </c>
      <c r="W240" s="298" t="s">
        <v>256</v>
      </c>
      <c r="X240" s="177" t="s">
        <v>2959</v>
      </c>
    </row>
    <row r="241" spans="1:24" ht="16.95" customHeight="1">
      <c r="A241" s="198" t="s">
        <v>2321</v>
      </c>
      <c r="B241" s="301">
        <v>3</v>
      </c>
      <c r="C241" s="301" t="s">
        <v>2425</v>
      </c>
      <c r="D241" s="301"/>
      <c r="E241" s="301" t="s">
        <v>256</v>
      </c>
      <c r="F241" s="199" t="s">
        <v>5971</v>
      </c>
      <c r="G241" s="198" t="s">
        <v>2452</v>
      </c>
      <c r="H241" s="301" t="s">
        <v>2498</v>
      </c>
      <c r="I241" s="301" t="s">
        <v>2500</v>
      </c>
      <c r="J241" s="301" t="s">
        <v>2960</v>
      </c>
      <c r="K241" s="198" t="s">
        <v>3175</v>
      </c>
      <c r="L241" s="200" t="s">
        <v>2964</v>
      </c>
      <c r="M241" s="201" t="s">
        <v>4255</v>
      </c>
      <c r="N241" s="309" t="s">
        <v>2651</v>
      </c>
      <c r="O241" s="301"/>
      <c r="P241" s="301"/>
      <c r="Q241" s="301"/>
      <c r="R241" s="301"/>
      <c r="S241" s="301"/>
      <c r="T241" s="301" t="s">
        <v>256</v>
      </c>
      <c r="U241" s="301"/>
      <c r="V241" s="301" t="s">
        <v>256</v>
      </c>
      <c r="W241" s="301" t="s">
        <v>256</v>
      </c>
      <c r="X241" s="177" t="s">
        <v>2959</v>
      </c>
    </row>
    <row r="242" spans="1:24" ht="16.95" customHeight="1">
      <c r="A242" s="182" t="s">
        <v>2188</v>
      </c>
      <c r="B242" s="297">
        <v>3</v>
      </c>
      <c r="C242" s="297" t="s">
        <v>2443</v>
      </c>
      <c r="D242" s="297"/>
      <c r="E242" s="297" t="s">
        <v>256</v>
      </c>
      <c r="F242" s="183" t="s">
        <v>5971</v>
      </c>
      <c r="G242" s="182" t="s">
        <v>2439</v>
      </c>
      <c r="H242" s="297" t="s">
        <v>2498</v>
      </c>
      <c r="I242" s="297" t="s">
        <v>2500</v>
      </c>
      <c r="J242" s="297" t="s">
        <v>2960</v>
      </c>
      <c r="K242" s="182" t="s">
        <v>3176</v>
      </c>
      <c r="L242" s="184" t="s">
        <v>2964</v>
      </c>
      <c r="M242" s="185" t="s">
        <v>4256</v>
      </c>
      <c r="N242" s="305" t="s">
        <v>2645</v>
      </c>
      <c r="O242" s="297"/>
      <c r="P242" s="297"/>
      <c r="Q242" s="297"/>
      <c r="R242" s="297"/>
      <c r="S242" s="297"/>
      <c r="T242" s="297"/>
      <c r="U242" s="297" t="s">
        <v>256</v>
      </c>
      <c r="V242" s="297"/>
      <c r="W242" s="297"/>
      <c r="X242" s="177" t="s">
        <v>2959</v>
      </c>
    </row>
    <row r="243" spans="1:24" ht="16.95" customHeight="1">
      <c r="A243" s="210" t="s">
        <v>2203</v>
      </c>
      <c r="B243" s="304">
        <v>3</v>
      </c>
      <c r="C243" s="304" t="s">
        <v>2450</v>
      </c>
      <c r="D243" s="304"/>
      <c r="E243" s="304" t="s">
        <v>256</v>
      </c>
      <c r="F243" s="211" t="s">
        <v>5971</v>
      </c>
      <c r="G243" s="210" t="s">
        <v>2435</v>
      </c>
      <c r="H243" s="304"/>
      <c r="I243" s="304" t="s">
        <v>2500</v>
      </c>
      <c r="J243" s="304" t="s">
        <v>2960</v>
      </c>
      <c r="K243" s="210" t="s">
        <v>3177</v>
      </c>
      <c r="L243" s="212" t="s">
        <v>2964</v>
      </c>
      <c r="M243" s="213" t="s">
        <v>4257</v>
      </c>
      <c r="N243" s="312" t="s">
        <v>2656</v>
      </c>
      <c r="O243" s="304" t="s">
        <v>256</v>
      </c>
      <c r="P243" s="304"/>
      <c r="Q243" s="304"/>
      <c r="R243" s="304"/>
      <c r="S243" s="304"/>
      <c r="T243" s="304" t="s">
        <v>256</v>
      </c>
      <c r="U243" s="304" t="s">
        <v>256</v>
      </c>
      <c r="V243" s="304" t="s">
        <v>256</v>
      </c>
      <c r="W243" s="304"/>
      <c r="X243" s="177" t="s">
        <v>2959</v>
      </c>
    </row>
    <row r="244" spans="1:24" ht="16.95" customHeight="1">
      <c r="A244" s="186" t="s">
        <v>5936</v>
      </c>
      <c r="B244" s="298">
        <v>3</v>
      </c>
      <c r="C244" s="298" t="s">
        <v>2433</v>
      </c>
      <c r="D244" s="298"/>
      <c r="E244" s="298" t="s">
        <v>256</v>
      </c>
      <c r="F244" s="187" t="s">
        <v>5971</v>
      </c>
      <c r="G244" s="186" t="s">
        <v>2452</v>
      </c>
      <c r="H244" s="298" t="s">
        <v>2498</v>
      </c>
      <c r="I244" s="298"/>
      <c r="J244" s="298"/>
      <c r="K244" s="186"/>
      <c r="L244" s="188" t="s">
        <v>3013</v>
      </c>
      <c r="M244" s="189" t="s">
        <v>4258</v>
      </c>
      <c r="N244" s="306" t="s">
        <v>2928</v>
      </c>
      <c r="O244" s="298" t="s">
        <v>256</v>
      </c>
      <c r="P244" s="298"/>
      <c r="Q244" s="298"/>
      <c r="R244" s="298"/>
      <c r="S244" s="298"/>
      <c r="T244" s="298" t="s">
        <v>256</v>
      </c>
      <c r="U244" s="298" t="s">
        <v>256</v>
      </c>
      <c r="V244" s="298" t="s">
        <v>256</v>
      </c>
      <c r="W244" s="298" t="s">
        <v>256</v>
      </c>
      <c r="X244" s="177" t="s">
        <v>2974</v>
      </c>
    </row>
    <row r="245" spans="1:24" ht="16.95" customHeight="1">
      <c r="A245" s="190" t="s">
        <v>2245</v>
      </c>
      <c r="B245" s="299">
        <v>3</v>
      </c>
      <c r="C245" s="299" t="s">
        <v>4559</v>
      </c>
      <c r="D245" s="299" t="s">
        <v>256</v>
      </c>
      <c r="E245" s="299"/>
      <c r="F245" s="191" t="s">
        <v>2438</v>
      </c>
      <c r="G245" s="190" t="s">
        <v>2481</v>
      </c>
      <c r="H245" s="299" t="s">
        <v>2498</v>
      </c>
      <c r="I245" s="299" t="s">
        <v>2500</v>
      </c>
      <c r="J245" s="299" t="s">
        <v>2960</v>
      </c>
      <c r="K245" s="190" t="s">
        <v>3178</v>
      </c>
      <c r="L245" s="192" t="s">
        <v>2444</v>
      </c>
      <c r="M245" s="193" t="s">
        <v>4259</v>
      </c>
      <c r="N245" s="307" t="s">
        <v>3179</v>
      </c>
      <c r="O245" s="299" t="s">
        <v>256</v>
      </c>
      <c r="P245" s="299"/>
      <c r="Q245" s="299"/>
      <c r="R245" s="299"/>
      <c r="S245" s="299"/>
      <c r="T245" s="299"/>
      <c r="U245" s="299"/>
      <c r="V245" s="299" t="s">
        <v>256</v>
      </c>
      <c r="W245" s="299"/>
      <c r="X245" s="177" t="s">
        <v>2959</v>
      </c>
    </row>
    <row r="246" spans="1:24" ht="16.95" customHeight="1">
      <c r="A246" s="194" t="s">
        <v>2183</v>
      </c>
      <c r="B246" s="300">
        <v>3</v>
      </c>
      <c r="C246" s="300" t="s">
        <v>2437</v>
      </c>
      <c r="D246" s="300"/>
      <c r="E246" s="300"/>
      <c r="F246" s="195" t="s">
        <v>5971</v>
      </c>
      <c r="G246" s="194" t="s">
        <v>2452</v>
      </c>
      <c r="H246" s="300" t="s">
        <v>2498</v>
      </c>
      <c r="I246" s="300" t="s">
        <v>2500</v>
      </c>
      <c r="J246" s="300"/>
      <c r="K246" s="194"/>
      <c r="L246" s="196" t="s">
        <v>2465</v>
      </c>
      <c r="M246" s="197" t="s">
        <v>4260</v>
      </c>
      <c r="N246" s="308" t="s">
        <v>2634</v>
      </c>
      <c r="O246" s="300"/>
      <c r="P246" s="300" t="s">
        <v>256</v>
      </c>
      <c r="Q246" s="300"/>
      <c r="R246" s="300"/>
      <c r="S246" s="300"/>
      <c r="T246" s="300"/>
      <c r="U246" s="300"/>
      <c r="V246" s="300" t="s">
        <v>256</v>
      </c>
      <c r="W246" s="300"/>
      <c r="X246" s="177" t="s">
        <v>2963</v>
      </c>
    </row>
    <row r="247" spans="1:24" ht="16.95" customHeight="1">
      <c r="A247" s="198" t="s">
        <v>2114</v>
      </c>
      <c r="B247" s="301">
        <v>3</v>
      </c>
      <c r="C247" s="301" t="s">
        <v>2425</v>
      </c>
      <c r="D247" s="301"/>
      <c r="E247" s="301" t="s">
        <v>256</v>
      </c>
      <c r="F247" s="199" t="s">
        <v>6007</v>
      </c>
      <c r="G247" s="198" t="s">
        <v>2475</v>
      </c>
      <c r="H247" s="301" t="s">
        <v>2498</v>
      </c>
      <c r="I247" s="301" t="s">
        <v>2500</v>
      </c>
      <c r="J247" s="301"/>
      <c r="K247" s="198"/>
      <c r="L247" s="200" t="s">
        <v>2964</v>
      </c>
      <c r="M247" s="201" t="s">
        <v>4261</v>
      </c>
      <c r="N247" s="309" t="s">
        <v>2643</v>
      </c>
      <c r="O247" s="301"/>
      <c r="P247" s="301"/>
      <c r="Q247" s="301"/>
      <c r="R247" s="301"/>
      <c r="S247" s="301" t="s">
        <v>256</v>
      </c>
      <c r="T247" s="301"/>
      <c r="U247" s="301"/>
      <c r="V247" s="301"/>
      <c r="W247" s="301"/>
      <c r="X247" s="177" t="s">
        <v>2959</v>
      </c>
    </row>
    <row r="248" spans="1:24" ht="16.95" customHeight="1">
      <c r="A248" s="190" t="s">
        <v>2323</v>
      </c>
      <c r="B248" s="299">
        <v>3</v>
      </c>
      <c r="C248" s="299" t="s">
        <v>2429</v>
      </c>
      <c r="D248" s="299"/>
      <c r="E248" s="299"/>
      <c r="F248" s="191" t="s">
        <v>5971</v>
      </c>
      <c r="G248" s="190" t="s">
        <v>2477</v>
      </c>
      <c r="H248" s="299" t="s">
        <v>2498</v>
      </c>
      <c r="I248" s="299" t="s">
        <v>2500</v>
      </c>
      <c r="J248" s="299" t="s">
        <v>2960</v>
      </c>
      <c r="K248" s="190" t="s">
        <v>3180</v>
      </c>
      <c r="L248" s="192" t="s">
        <v>2465</v>
      </c>
      <c r="M248" s="193" t="s">
        <v>4262</v>
      </c>
      <c r="N248" s="307" t="s">
        <v>2652</v>
      </c>
      <c r="O248" s="299"/>
      <c r="P248" s="299"/>
      <c r="Q248" s="299"/>
      <c r="R248" s="299"/>
      <c r="S248" s="299"/>
      <c r="T248" s="299" t="s">
        <v>256</v>
      </c>
      <c r="U248" s="299"/>
      <c r="V248" s="299" t="s">
        <v>256</v>
      </c>
      <c r="W248" s="299"/>
      <c r="X248" s="177" t="s">
        <v>2959</v>
      </c>
    </row>
    <row r="249" spans="1:24" ht="16.95" customHeight="1">
      <c r="A249" s="182" t="s">
        <v>2099</v>
      </c>
      <c r="B249" s="297">
        <v>3</v>
      </c>
      <c r="C249" s="297" t="s">
        <v>2443</v>
      </c>
      <c r="D249" s="297"/>
      <c r="E249" s="297"/>
      <c r="F249" s="183" t="s">
        <v>2438</v>
      </c>
      <c r="G249" s="182" t="s">
        <v>2431</v>
      </c>
      <c r="H249" s="297" t="s">
        <v>2498</v>
      </c>
      <c r="I249" s="297" t="s">
        <v>2500</v>
      </c>
      <c r="J249" s="297" t="s">
        <v>2960</v>
      </c>
      <c r="K249" s="182" t="s">
        <v>3181</v>
      </c>
      <c r="L249" s="184" t="s">
        <v>2434</v>
      </c>
      <c r="M249" s="185" t="s">
        <v>4263</v>
      </c>
      <c r="N249" s="305" t="s">
        <v>2672</v>
      </c>
      <c r="O249" s="297"/>
      <c r="P249" s="297" t="s">
        <v>256</v>
      </c>
      <c r="Q249" s="297"/>
      <c r="R249" s="297" t="s">
        <v>256</v>
      </c>
      <c r="S249" s="297"/>
      <c r="T249" s="297"/>
      <c r="U249" s="297" t="s">
        <v>256</v>
      </c>
      <c r="V249" s="297" t="s">
        <v>256</v>
      </c>
      <c r="W249" s="297"/>
      <c r="X249" s="177" t="s">
        <v>2959</v>
      </c>
    </row>
    <row r="250" spans="1:24" ht="16.95" customHeight="1">
      <c r="A250" s="210" t="s">
        <v>2207</v>
      </c>
      <c r="B250" s="304">
        <v>3</v>
      </c>
      <c r="C250" s="304" t="s">
        <v>2450</v>
      </c>
      <c r="D250" s="304"/>
      <c r="E250" s="304" t="s">
        <v>256</v>
      </c>
      <c r="F250" s="211" t="s">
        <v>5971</v>
      </c>
      <c r="G250" s="210" t="s">
        <v>2435</v>
      </c>
      <c r="H250" s="304" t="s">
        <v>2498</v>
      </c>
      <c r="I250" s="304" t="s">
        <v>2500</v>
      </c>
      <c r="J250" s="304" t="s">
        <v>2960</v>
      </c>
      <c r="K250" s="210" t="s">
        <v>2975</v>
      </c>
      <c r="L250" s="212" t="s">
        <v>2998</v>
      </c>
      <c r="M250" s="213" t="s">
        <v>4264</v>
      </c>
      <c r="N250" s="312" t="s">
        <v>2657</v>
      </c>
      <c r="O250" s="304" t="s">
        <v>256</v>
      </c>
      <c r="P250" s="304"/>
      <c r="Q250" s="304"/>
      <c r="R250" s="304"/>
      <c r="S250" s="304"/>
      <c r="T250" s="304" t="s">
        <v>256</v>
      </c>
      <c r="U250" s="304" t="s">
        <v>256</v>
      </c>
      <c r="V250" s="304" t="s">
        <v>256</v>
      </c>
      <c r="W250" s="304"/>
      <c r="X250" s="177" t="s">
        <v>2959</v>
      </c>
    </row>
    <row r="251" spans="1:24" ht="16.95" customHeight="1">
      <c r="A251" s="190" t="s">
        <v>2208</v>
      </c>
      <c r="B251" s="299">
        <v>3</v>
      </c>
      <c r="C251" s="299" t="s">
        <v>2429</v>
      </c>
      <c r="D251" s="299"/>
      <c r="E251" s="299"/>
      <c r="F251" s="191" t="s">
        <v>6007</v>
      </c>
      <c r="G251" s="190" t="s">
        <v>2461</v>
      </c>
      <c r="H251" s="299" t="s">
        <v>2498</v>
      </c>
      <c r="I251" s="299"/>
      <c r="J251" s="299"/>
      <c r="K251" s="190"/>
      <c r="L251" s="192" t="s">
        <v>2465</v>
      </c>
      <c r="M251" s="193" t="s">
        <v>4265</v>
      </c>
      <c r="N251" s="307" t="s">
        <v>2682</v>
      </c>
      <c r="O251" s="299" t="s">
        <v>3078</v>
      </c>
      <c r="P251" s="299" t="s">
        <v>256</v>
      </c>
      <c r="Q251" s="299"/>
      <c r="R251" s="299"/>
      <c r="S251" s="299"/>
      <c r="T251" s="299"/>
      <c r="U251" s="299"/>
      <c r="V251" s="299"/>
      <c r="W251" s="299"/>
      <c r="X251" s="177" t="s">
        <v>2959</v>
      </c>
    </row>
    <row r="252" spans="1:24" ht="16.95" customHeight="1">
      <c r="A252" s="198" t="s">
        <v>2202</v>
      </c>
      <c r="B252" s="301">
        <v>3</v>
      </c>
      <c r="C252" s="301" t="s">
        <v>4556</v>
      </c>
      <c r="D252" s="301" t="s">
        <v>256</v>
      </c>
      <c r="E252" s="301"/>
      <c r="F252" s="199" t="s">
        <v>5971</v>
      </c>
      <c r="G252" s="198" t="s">
        <v>2467</v>
      </c>
      <c r="H252" s="301" t="s">
        <v>2498</v>
      </c>
      <c r="I252" s="301" t="s">
        <v>2500</v>
      </c>
      <c r="J252" s="301"/>
      <c r="K252" s="198"/>
      <c r="L252" s="200" t="s">
        <v>2444</v>
      </c>
      <c r="M252" s="201" t="s">
        <v>4266</v>
      </c>
      <c r="N252" s="309" t="s">
        <v>2680</v>
      </c>
      <c r="O252" s="301"/>
      <c r="P252" s="301" t="s">
        <v>256</v>
      </c>
      <c r="Q252" s="301" t="s">
        <v>256</v>
      </c>
      <c r="R252" s="301"/>
      <c r="S252" s="301" t="s">
        <v>3078</v>
      </c>
      <c r="T252" s="301"/>
      <c r="U252" s="301"/>
      <c r="V252" s="301"/>
      <c r="W252" s="301"/>
      <c r="X252" s="177" t="s">
        <v>2959</v>
      </c>
    </row>
    <row r="253" spans="1:24" ht="16.95" customHeight="1">
      <c r="A253" s="190" t="s">
        <v>2302</v>
      </c>
      <c r="B253" s="299">
        <v>3</v>
      </c>
      <c r="C253" s="299" t="s">
        <v>2429</v>
      </c>
      <c r="D253" s="299"/>
      <c r="E253" s="299" t="s">
        <v>256</v>
      </c>
      <c r="F253" s="191" t="s">
        <v>5971</v>
      </c>
      <c r="G253" s="190" t="s">
        <v>2475</v>
      </c>
      <c r="H253" s="299" t="s">
        <v>2498</v>
      </c>
      <c r="I253" s="299" t="s">
        <v>2500</v>
      </c>
      <c r="J253" s="299" t="s">
        <v>2960</v>
      </c>
      <c r="K253" s="190" t="s">
        <v>3182</v>
      </c>
      <c r="L253" s="192" t="s">
        <v>2998</v>
      </c>
      <c r="M253" s="193" t="s">
        <v>4267</v>
      </c>
      <c r="N253" s="307" t="s">
        <v>3183</v>
      </c>
      <c r="O253" s="299"/>
      <c r="P253" s="299"/>
      <c r="Q253" s="299"/>
      <c r="R253" s="299"/>
      <c r="S253" s="299"/>
      <c r="T253" s="299" t="s">
        <v>256</v>
      </c>
      <c r="U253" s="299"/>
      <c r="V253" s="299" t="s">
        <v>256</v>
      </c>
      <c r="W253" s="299"/>
      <c r="X253" s="177" t="s">
        <v>2963</v>
      </c>
    </row>
    <row r="254" spans="1:24" ht="16.95" customHeight="1">
      <c r="A254" s="186" t="s">
        <v>2120</v>
      </c>
      <c r="B254" s="298">
        <v>3</v>
      </c>
      <c r="C254" s="298" t="s">
        <v>2433</v>
      </c>
      <c r="D254" s="298"/>
      <c r="E254" s="298"/>
      <c r="F254" s="187" t="s">
        <v>5971</v>
      </c>
      <c r="G254" s="186" t="s">
        <v>2467</v>
      </c>
      <c r="H254" s="298" t="s">
        <v>2498</v>
      </c>
      <c r="I254" s="298" t="s">
        <v>2500</v>
      </c>
      <c r="J254" s="298" t="s">
        <v>2960</v>
      </c>
      <c r="K254" s="186" t="s">
        <v>3184</v>
      </c>
      <c r="L254" s="188" t="s">
        <v>2444</v>
      </c>
      <c r="M254" s="189" t="s">
        <v>4268</v>
      </c>
      <c r="N254" s="306" t="s">
        <v>2654</v>
      </c>
      <c r="O254" s="298" t="s">
        <v>256</v>
      </c>
      <c r="P254" s="298"/>
      <c r="Q254" s="298"/>
      <c r="R254" s="298"/>
      <c r="S254" s="298" t="s">
        <v>256</v>
      </c>
      <c r="T254" s="298"/>
      <c r="U254" s="298"/>
      <c r="V254" s="298" t="s">
        <v>256</v>
      </c>
      <c r="W254" s="298"/>
      <c r="X254" s="177" t="s">
        <v>2959</v>
      </c>
    </row>
    <row r="255" spans="1:24" ht="16.95" customHeight="1">
      <c r="A255" s="210" t="s">
        <v>2371</v>
      </c>
      <c r="B255" s="304">
        <v>3</v>
      </c>
      <c r="C255" s="304" t="s">
        <v>4555</v>
      </c>
      <c r="D255" s="304" t="s">
        <v>256</v>
      </c>
      <c r="E255" s="304"/>
      <c r="F255" s="211" t="s">
        <v>2438</v>
      </c>
      <c r="G255" s="210" t="s">
        <v>2452</v>
      </c>
      <c r="H255" s="304" t="s">
        <v>2498</v>
      </c>
      <c r="I255" s="304" t="s">
        <v>2500</v>
      </c>
      <c r="J255" s="304"/>
      <c r="K255" s="210"/>
      <c r="L255" s="212" t="s">
        <v>2434</v>
      </c>
      <c r="M255" s="213" t="s">
        <v>4269</v>
      </c>
      <c r="N255" s="312" t="s">
        <v>2684</v>
      </c>
      <c r="O255" s="304"/>
      <c r="P255" s="304"/>
      <c r="Q255" s="304"/>
      <c r="R255" s="304"/>
      <c r="S255" s="304"/>
      <c r="T255" s="304"/>
      <c r="U255" s="304"/>
      <c r="V255" s="304" t="s">
        <v>256</v>
      </c>
      <c r="W255" s="304"/>
      <c r="X255" s="177" t="s">
        <v>2959</v>
      </c>
    </row>
    <row r="256" spans="1:24" ht="16.95" customHeight="1">
      <c r="A256" s="198" t="s">
        <v>2122</v>
      </c>
      <c r="B256" s="301">
        <v>3</v>
      </c>
      <c r="C256" s="301" t="s">
        <v>2425</v>
      </c>
      <c r="D256" s="301"/>
      <c r="E256" s="301"/>
      <c r="F256" s="199" t="s">
        <v>6056</v>
      </c>
      <c r="G256" s="198" t="s">
        <v>2439</v>
      </c>
      <c r="H256" s="301" t="s">
        <v>2498</v>
      </c>
      <c r="I256" s="301" t="s">
        <v>2500</v>
      </c>
      <c r="J256" s="301"/>
      <c r="K256" s="198"/>
      <c r="L256" s="200" t="s">
        <v>2465</v>
      </c>
      <c r="M256" s="201" t="s">
        <v>4270</v>
      </c>
      <c r="N256" s="309" t="s">
        <v>2667</v>
      </c>
      <c r="O256" s="301" t="s">
        <v>256</v>
      </c>
      <c r="P256" s="301"/>
      <c r="Q256" s="301" t="s">
        <v>256</v>
      </c>
      <c r="R256" s="301"/>
      <c r="S256" s="301" t="s">
        <v>256</v>
      </c>
      <c r="T256" s="301"/>
      <c r="U256" s="301"/>
      <c r="V256" s="301"/>
      <c r="W256" s="301"/>
      <c r="X256" s="177" t="s">
        <v>2959</v>
      </c>
    </row>
    <row r="257" spans="1:24" ht="16.95" customHeight="1">
      <c r="A257" s="186" t="s">
        <v>2131</v>
      </c>
      <c r="B257" s="298">
        <v>3</v>
      </c>
      <c r="C257" s="298" t="s">
        <v>2433</v>
      </c>
      <c r="D257" s="298"/>
      <c r="E257" s="298" t="s">
        <v>256</v>
      </c>
      <c r="F257" s="187" t="s">
        <v>5971</v>
      </c>
      <c r="G257" s="186" t="s">
        <v>2467</v>
      </c>
      <c r="H257" s="298" t="s">
        <v>2498</v>
      </c>
      <c r="I257" s="298" t="s">
        <v>2500</v>
      </c>
      <c r="J257" s="298"/>
      <c r="K257" s="186"/>
      <c r="L257" s="188" t="s">
        <v>3013</v>
      </c>
      <c r="M257" s="189" t="s">
        <v>4271</v>
      </c>
      <c r="N257" s="306" t="s">
        <v>2677</v>
      </c>
      <c r="O257" s="298"/>
      <c r="P257" s="298" t="s">
        <v>256</v>
      </c>
      <c r="Q257" s="298" t="s">
        <v>256</v>
      </c>
      <c r="R257" s="298"/>
      <c r="S257" s="298" t="s">
        <v>256</v>
      </c>
      <c r="T257" s="298" t="s">
        <v>256</v>
      </c>
      <c r="U257" s="298"/>
      <c r="V257" s="298" t="s">
        <v>256</v>
      </c>
      <c r="W257" s="298" t="s">
        <v>256</v>
      </c>
      <c r="X257" s="177" t="s">
        <v>2959</v>
      </c>
    </row>
    <row r="258" spans="1:24" ht="16.95" customHeight="1">
      <c r="A258" s="190" t="s">
        <v>3185</v>
      </c>
      <c r="B258" s="299">
        <v>3</v>
      </c>
      <c r="C258" s="299" t="s">
        <v>2429</v>
      </c>
      <c r="D258" s="299"/>
      <c r="E258" s="299"/>
      <c r="F258" s="191" t="s">
        <v>5971</v>
      </c>
      <c r="G258" s="190" t="s">
        <v>2489</v>
      </c>
      <c r="H258" s="299" t="s">
        <v>2498</v>
      </c>
      <c r="I258" s="299" t="s">
        <v>2500</v>
      </c>
      <c r="J258" s="299"/>
      <c r="K258" s="190"/>
      <c r="L258" s="192" t="s">
        <v>2465</v>
      </c>
      <c r="M258" s="193" t="s">
        <v>4272</v>
      </c>
      <c r="N258" s="307" t="s">
        <v>3186</v>
      </c>
      <c r="O258" s="299"/>
      <c r="P258" s="299"/>
      <c r="Q258" s="299"/>
      <c r="R258" s="299"/>
      <c r="S258" s="299"/>
      <c r="T258" s="299"/>
      <c r="U258" s="299"/>
      <c r="V258" s="299" t="s">
        <v>256</v>
      </c>
      <c r="W258" s="299"/>
      <c r="X258" s="177" t="s">
        <v>2979</v>
      </c>
    </row>
    <row r="259" spans="1:24" ht="16.95" customHeight="1">
      <c r="A259" s="186" t="s">
        <v>2101</v>
      </c>
      <c r="B259" s="298">
        <v>3</v>
      </c>
      <c r="C259" s="298" t="s">
        <v>2433</v>
      </c>
      <c r="D259" s="298"/>
      <c r="E259" s="298"/>
      <c r="F259" s="187" t="s">
        <v>5971</v>
      </c>
      <c r="G259" s="186" t="s">
        <v>2467</v>
      </c>
      <c r="H259" s="298" t="s">
        <v>2498</v>
      </c>
      <c r="I259" s="298" t="s">
        <v>2500</v>
      </c>
      <c r="J259" s="298"/>
      <c r="K259" s="186"/>
      <c r="L259" s="188" t="s">
        <v>2465</v>
      </c>
      <c r="M259" s="189" t="s">
        <v>4273</v>
      </c>
      <c r="N259" s="306" t="s">
        <v>2673</v>
      </c>
      <c r="O259" s="298"/>
      <c r="P259" s="298" t="s">
        <v>256</v>
      </c>
      <c r="Q259" s="298"/>
      <c r="R259" s="298" t="s">
        <v>256</v>
      </c>
      <c r="S259" s="298"/>
      <c r="T259" s="298"/>
      <c r="U259" s="298" t="s">
        <v>256</v>
      </c>
      <c r="V259" s="298" t="s">
        <v>256</v>
      </c>
      <c r="W259" s="298"/>
      <c r="X259" s="177" t="s">
        <v>2959</v>
      </c>
    </row>
    <row r="260" spans="1:24" ht="16.95" customHeight="1">
      <c r="A260" s="194" t="s">
        <v>2107</v>
      </c>
      <c r="B260" s="300">
        <v>3</v>
      </c>
      <c r="C260" s="300" t="s">
        <v>2437</v>
      </c>
      <c r="D260" s="300"/>
      <c r="E260" s="300"/>
      <c r="F260" s="195" t="s">
        <v>5971</v>
      </c>
      <c r="G260" s="194" t="s">
        <v>2467</v>
      </c>
      <c r="H260" s="300" t="s">
        <v>2498</v>
      </c>
      <c r="I260" s="300" t="s">
        <v>2500</v>
      </c>
      <c r="J260" s="300" t="s">
        <v>2960</v>
      </c>
      <c r="K260" s="194" t="s">
        <v>3187</v>
      </c>
      <c r="L260" s="196" t="s">
        <v>2465</v>
      </c>
      <c r="M260" s="197" t="s">
        <v>4274</v>
      </c>
      <c r="N260" s="308" t="s">
        <v>2675</v>
      </c>
      <c r="O260" s="300"/>
      <c r="P260" s="300" t="s">
        <v>256</v>
      </c>
      <c r="Q260" s="300" t="s">
        <v>3078</v>
      </c>
      <c r="R260" s="300" t="s">
        <v>256</v>
      </c>
      <c r="S260" s="300" t="s">
        <v>3078</v>
      </c>
      <c r="T260" s="300"/>
      <c r="U260" s="300"/>
      <c r="V260" s="300"/>
      <c r="W260" s="300" t="s">
        <v>256</v>
      </c>
      <c r="X260" s="177" t="s">
        <v>2959</v>
      </c>
    </row>
    <row r="261" spans="1:24" ht="16.95" customHeight="1">
      <c r="A261" s="190" t="s">
        <v>2165</v>
      </c>
      <c r="B261" s="299">
        <v>3</v>
      </c>
      <c r="C261" s="299" t="s">
        <v>2429</v>
      </c>
      <c r="D261" s="299"/>
      <c r="E261" s="299"/>
      <c r="F261" s="191" t="s">
        <v>5971</v>
      </c>
      <c r="G261" s="190" t="s">
        <v>2473</v>
      </c>
      <c r="H261" s="299" t="s">
        <v>2498</v>
      </c>
      <c r="I261" s="299" t="s">
        <v>2500</v>
      </c>
      <c r="J261" s="299" t="s">
        <v>2960</v>
      </c>
      <c r="K261" s="190" t="s">
        <v>3188</v>
      </c>
      <c r="L261" s="192" t="s">
        <v>2442</v>
      </c>
      <c r="M261" s="193" t="s">
        <v>4275</v>
      </c>
      <c r="N261" s="307" t="s">
        <v>2663</v>
      </c>
      <c r="O261" s="299" t="s">
        <v>256</v>
      </c>
      <c r="P261" s="299" t="s">
        <v>256</v>
      </c>
      <c r="Q261" s="299"/>
      <c r="R261" s="299"/>
      <c r="S261" s="299"/>
      <c r="T261" s="299"/>
      <c r="U261" s="299"/>
      <c r="V261" s="299" t="s">
        <v>256</v>
      </c>
      <c r="W261" s="299"/>
      <c r="X261" s="177" t="s">
        <v>2959</v>
      </c>
    </row>
    <row r="262" spans="1:24" ht="16.95" customHeight="1">
      <c r="A262" s="182" t="s">
        <v>2281</v>
      </c>
      <c r="B262" s="297">
        <v>3</v>
      </c>
      <c r="C262" s="297" t="s">
        <v>2443</v>
      </c>
      <c r="D262" s="297"/>
      <c r="E262" s="297" t="s">
        <v>256</v>
      </c>
      <c r="F262" s="183" t="s">
        <v>5971</v>
      </c>
      <c r="G262" s="182" t="s">
        <v>2439</v>
      </c>
      <c r="H262" s="297" t="s">
        <v>2498</v>
      </c>
      <c r="I262" s="297" t="s">
        <v>2500</v>
      </c>
      <c r="J262" s="297" t="s">
        <v>2960</v>
      </c>
      <c r="K262" s="182" t="s">
        <v>3189</v>
      </c>
      <c r="L262" s="184" t="s">
        <v>2964</v>
      </c>
      <c r="M262" s="185" t="s">
        <v>4276</v>
      </c>
      <c r="N262" s="305" t="s">
        <v>2688</v>
      </c>
      <c r="O262" s="297"/>
      <c r="P262" s="297"/>
      <c r="Q262" s="297" t="s">
        <v>256</v>
      </c>
      <c r="R262" s="297"/>
      <c r="S262" s="297"/>
      <c r="T262" s="297" t="s">
        <v>256</v>
      </c>
      <c r="U262" s="297"/>
      <c r="V262" s="297" t="s">
        <v>256</v>
      </c>
      <c r="W262" s="297"/>
      <c r="X262" s="177" t="s">
        <v>2959</v>
      </c>
    </row>
    <row r="263" spans="1:24" ht="16.95" customHeight="1">
      <c r="A263" s="198" t="s">
        <v>2326</v>
      </c>
      <c r="B263" s="301">
        <v>3</v>
      </c>
      <c r="C263" s="301" t="s">
        <v>2425</v>
      </c>
      <c r="D263" s="301"/>
      <c r="E263" s="301" t="s">
        <v>256</v>
      </c>
      <c r="F263" s="199" t="s">
        <v>5971</v>
      </c>
      <c r="G263" s="198" t="s">
        <v>2435</v>
      </c>
      <c r="H263" s="301" t="s">
        <v>2498</v>
      </c>
      <c r="I263" s="301" t="s">
        <v>2500</v>
      </c>
      <c r="J263" s="301" t="s">
        <v>2960</v>
      </c>
      <c r="K263" s="198" t="s">
        <v>3190</v>
      </c>
      <c r="L263" s="200" t="s">
        <v>2964</v>
      </c>
      <c r="M263" s="201" t="s">
        <v>4277</v>
      </c>
      <c r="N263" s="309" t="s">
        <v>2653</v>
      </c>
      <c r="O263" s="301" t="s">
        <v>3078</v>
      </c>
      <c r="P263" s="301"/>
      <c r="Q263" s="301"/>
      <c r="R263" s="301"/>
      <c r="S263" s="301"/>
      <c r="T263" s="301" t="s">
        <v>256</v>
      </c>
      <c r="U263" s="301"/>
      <c r="V263" s="301" t="s">
        <v>256</v>
      </c>
      <c r="W263" s="301"/>
      <c r="X263" s="177" t="s">
        <v>2959</v>
      </c>
    </row>
    <row r="264" spans="1:24" ht="16.95" customHeight="1">
      <c r="A264" s="194" t="s">
        <v>2177</v>
      </c>
      <c r="B264" s="300">
        <v>3</v>
      </c>
      <c r="C264" s="300" t="s">
        <v>2437</v>
      </c>
      <c r="D264" s="300"/>
      <c r="E264" s="300"/>
      <c r="F264" s="195" t="s">
        <v>5971</v>
      </c>
      <c r="G264" s="194" t="s">
        <v>2431</v>
      </c>
      <c r="H264" s="300" t="s">
        <v>2498</v>
      </c>
      <c r="I264" s="300" t="s">
        <v>2500</v>
      </c>
      <c r="J264" s="300" t="s">
        <v>2960</v>
      </c>
      <c r="K264" s="194" t="s">
        <v>3191</v>
      </c>
      <c r="L264" s="196" t="s">
        <v>2428</v>
      </c>
      <c r="M264" s="197" t="s">
        <v>4278</v>
      </c>
      <c r="N264" s="308" t="s">
        <v>2666</v>
      </c>
      <c r="O264" s="300" t="s">
        <v>256</v>
      </c>
      <c r="P264" s="300" t="s">
        <v>256</v>
      </c>
      <c r="Q264" s="300"/>
      <c r="R264" s="300"/>
      <c r="S264" s="300"/>
      <c r="T264" s="300"/>
      <c r="U264" s="300"/>
      <c r="V264" s="300" t="s">
        <v>3078</v>
      </c>
      <c r="W264" s="300"/>
      <c r="X264" s="177" t="s">
        <v>2959</v>
      </c>
    </row>
    <row r="265" spans="1:24" ht="16.95" customHeight="1">
      <c r="A265" s="198" t="s">
        <v>2127</v>
      </c>
      <c r="B265" s="301">
        <v>3</v>
      </c>
      <c r="C265" s="301" t="s">
        <v>2425</v>
      </c>
      <c r="D265" s="301"/>
      <c r="E265" s="301"/>
      <c r="F265" s="199" t="s">
        <v>5971</v>
      </c>
      <c r="G265" s="198" t="s">
        <v>2488</v>
      </c>
      <c r="H265" s="301" t="s">
        <v>2498</v>
      </c>
      <c r="I265" s="301" t="s">
        <v>2500</v>
      </c>
      <c r="J265" s="301"/>
      <c r="K265" s="198"/>
      <c r="L265" s="200" t="s">
        <v>2428</v>
      </c>
      <c r="M265" s="201" t="s">
        <v>4279</v>
      </c>
      <c r="N265" s="309" t="s">
        <v>2668</v>
      </c>
      <c r="O265" s="301" t="s">
        <v>256</v>
      </c>
      <c r="P265" s="301"/>
      <c r="Q265" s="301" t="s">
        <v>256</v>
      </c>
      <c r="R265" s="301"/>
      <c r="S265" s="301" t="s">
        <v>256</v>
      </c>
      <c r="T265" s="301"/>
      <c r="U265" s="301"/>
      <c r="V265" s="301"/>
      <c r="W265" s="301"/>
      <c r="X265" s="177" t="s">
        <v>2959</v>
      </c>
    </row>
    <row r="266" spans="1:24" ht="16.95" customHeight="1">
      <c r="A266" s="182" t="s">
        <v>2209</v>
      </c>
      <c r="B266" s="297">
        <v>3</v>
      </c>
      <c r="C266" s="297" t="s">
        <v>2443</v>
      </c>
      <c r="D266" s="297"/>
      <c r="E266" s="297" t="s">
        <v>256</v>
      </c>
      <c r="F266" s="183" t="s">
        <v>5971</v>
      </c>
      <c r="G266" s="182" t="s">
        <v>3192</v>
      </c>
      <c r="H266" s="297" t="s">
        <v>2498</v>
      </c>
      <c r="I266" s="297" t="s">
        <v>2500</v>
      </c>
      <c r="J266" s="297" t="s">
        <v>2960</v>
      </c>
      <c r="K266" s="182" t="s">
        <v>3193</v>
      </c>
      <c r="L266" s="184" t="s">
        <v>2998</v>
      </c>
      <c r="M266" s="185" t="s">
        <v>4280</v>
      </c>
      <c r="N266" s="305" t="s">
        <v>2683</v>
      </c>
      <c r="O266" s="297"/>
      <c r="P266" s="297" t="s">
        <v>256</v>
      </c>
      <c r="Q266" s="297"/>
      <c r="R266" s="297"/>
      <c r="S266" s="297"/>
      <c r="T266" s="297"/>
      <c r="U266" s="297"/>
      <c r="V266" s="297"/>
      <c r="W266" s="297"/>
      <c r="X266" s="177" t="s">
        <v>2959</v>
      </c>
    </row>
    <row r="267" spans="1:24" ht="16.95" customHeight="1">
      <c r="A267" s="194" t="s">
        <v>2930</v>
      </c>
      <c r="B267" s="300">
        <v>3</v>
      </c>
      <c r="C267" s="300" t="s">
        <v>2437</v>
      </c>
      <c r="D267" s="300"/>
      <c r="E267" s="300" t="s">
        <v>256</v>
      </c>
      <c r="F267" s="195" t="s">
        <v>6007</v>
      </c>
      <c r="G267" s="194" t="s">
        <v>2475</v>
      </c>
      <c r="H267" s="300" t="s">
        <v>2498</v>
      </c>
      <c r="I267" s="300" t="s">
        <v>2500</v>
      </c>
      <c r="J267" s="300"/>
      <c r="K267" s="194"/>
      <c r="L267" s="196" t="s">
        <v>2964</v>
      </c>
      <c r="M267" s="197" t="s">
        <v>4281</v>
      </c>
      <c r="N267" s="308" t="s">
        <v>2929</v>
      </c>
      <c r="O267" s="300"/>
      <c r="P267" s="300" t="s">
        <v>256</v>
      </c>
      <c r="Q267" s="300"/>
      <c r="R267" s="300" t="s">
        <v>256</v>
      </c>
      <c r="S267" s="300"/>
      <c r="T267" s="300"/>
      <c r="U267" s="300" t="s">
        <v>256</v>
      </c>
      <c r="V267" s="300" t="s">
        <v>256</v>
      </c>
      <c r="W267" s="300"/>
      <c r="X267" s="177" t="s">
        <v>2974</v>
      </c>
    </row>
    <row r="268" spans="1:24" ht="16.95" customHeight="1">
      <c r="A268" s="182" t="s">
        <v>2226</v>
      </c>
      <c r="B268" s="297">
        <v>3</v>
      </c>
      <c r="C268" s="297" t="s">
        <v>2443</v>
      </c>
      <c r="D268" s="297"/>
      <c r="E268" s="297" t="s">
        <v>256</v>
      </c>
      <c r="F268" s="183" t="s">
        <v>5971</v>
      </c>
      <c r="G268" s="182" t="s">
        <v>2463</v>
      </c>
      <c r="H268" s="297" t="s">
        <v>2498</v>
      </c>
      <c r="I268" s="297" t="s">
        <v>2500</v>
      </c>
      <c r="J268" s="297" t="s">
        <v>2960</v>
      </c>
      <c r="K268" s="182" t="s">
        <v>3194</v>
      </c>
      <c r="L268" s="184" t="s">
        <v>2964</v>
      </c>
      <c r="M268" s="185" t="s">
        <v>4282</v>
      </c>
      <c r="N268" s="305" t="s">
        <v>2658</v>
      </c>
      <c r="O268" s="297" t="s">
        <v>256</v>
      </c>
      <c r="P268" s="297"/>
      <c r="Q268" s="297"/>
      <c r="R268" s="297"/>
      <c r="S268" s="297"/>
      <c r="T268" s="297" t="s">
        <v>256</v>
      </c>
      <c r="U268" s="297"/>
      <c r="V268" s="297" t="s">
        <v>256</v>
      </c>
      <c r="W268" s="297"/>
      <c r="X268" s="177" t="s">
        <v>2959</v>
      </c>
    </row>
    <row r="269" spans="1:24" ht="16.95" customHeight="1">
      <c r="A269" s="182" t="s">
        <v>4723</v>
      </c>
      <c r="B269" s="297">
        <v>3</v>
      </c>
      <c r="C269" s="297" t="s">
        <v>2443</v>
      </c>
      <c r="D269" s="297"/>
      <c r="E269" s="297" t="s">
        <v>256</v>
      </c>
      <c r="F269" s="183" t="s">
        <v>5971</v>
      </c>
      <c r="G269" s="182" t="s">
        <v>2463</v>
      </c>
      <c r="H269" s="297" t="s">
        <v>2498</v>
      </c>
      <c r="I269" s="297" t="s">
        <v>2500</v>
      </c>
      <c r="J269" s="297" t="s">
        <v>2960</v>
      </c>
      <c r="K269" s="182" t="s">
        <v>3195</v>
      </c>
      <c r="L269" s="184" t="s">
        <v>3013</v>
      </c>
      <c r="M269" s="185" t="s">
        <v>4283</v>
      </c>
      <c r="N269" s="305" t="s">
        <v>2931</v>
      </c>
      <c r="O269" s="297"/>
      <c r="P269" s="297"/>
      <c r="Q269" s="297" t="s">
        <v>256</v>
      </c>
      <c r="R269" s="297"/>
      <c r="S269" s="297" t="s">
        <v>256</v>
      </c>
      <c r="T269" s="297"/>
      <c r="U269" s="297" t="s">
        <v>256</v>
      </c>
      <c r="V269" s="297" t="s">
        <v>256</v>
      </c>
      <c r="W269" s="297"/>
      <c r="X269" s="177" t="s">
        <v>2974</v>
      </c>
    </row>
    <row r="270" spans="1:24" ht="16.95" customHeight="1">
      <c r="A270" s="182" t="s">
        <v>2210</v>
      </c>
      <c r="B270" s="297">
        <v>3</v>
      </c>
      <c r="C270" s="297" t="s">
        <v>2443</v>
      </c>
      <c r="D270" s="297"/>
      <c r="E270" s="297" t="s">
        <v>256</v>
      </c>
      <c r="F270" s="183" t="s">
        <v>5971</v>
      </c>
      <c r="G270" s="182" t="s">
        <v>2461</v>
      </c>
      <c r="H270" s="297" t="s">
        <v>2498</v>
      </c>
      <c r="I270" s="297" t="s">
        <v>2500</v>
      </c>
      <c r="J270" s="297" t="s">
        <v>2960</v>
      </c>
      <c r="K270" s="182" t="s">
        <v>3196</v>
      </c>
      <c r="L270" s="184" t="s">
        <v>3013</v>
      </c>
      <c r="M270" s="185" t="s">
        <v>4284</v>
      </c>
      <c r="N270" s="305" t="s">
        <v>2635</v>
      </c>
      <c r="O270" s="297"/>
      <c r="P270" s="297"/>
      <c r="Q270" s="297"/>
      <c r="R270" s="297"/>
      <c r="S270" s="297"/>
      <c r="T270" s="297"/>
      <c r="U270" s="297" t="s">
        <v>256</v>
      </c>
      <c r="V270" s="297" t="s">
        <v>256</v>
      </c>
      <c r="W270" s="297"/>
      <c r="X270" s="177" t="s">
        <v>2963</v>
      </c>
    </row>
    <row r="271" spans="1:24" ht="16.95" customHeight="1">
      <c r="A271" s="182" t="s">
        <v>4724</v>
      </c>
      <c r="B271" s="297">
        <v>3</v>
      </c>
      <c r="C271" s="297" t="s">
        <v>2443</v>
      </c>
      <c r="D271" s="297"/>
      <c r="E271" s="297" t="s">
        <v>256</v>
      </c>
      <c r="F271" s="183" t="s">
        <v>5971</v>
      </c>
      <c r="G271" s="182" t="s">
        <v>2463</v>
      </c>
      <c r="H271" s="297" t="s">
        <v>2498</v>
      </c>
      <c r="I271" s="297" t="s">
        <v>2500</v>
      </c>
      <c r="J271" s="297" t="s">
        <v>2960</v>
      </c>
      <c r="K271" s="182" t="s">
        <v>3197</v>
      </c>
      <c r="L271" s="184" t="s">
        <v>3013</v>
      </c>
      <c r="M271" s="185" t="s">
        <v>4285</v>
      </c>
      <c r="N271" s="305" t="s">
        <v>2932</v>
      </c>
      <c r="O271" s="297"/>
      <c r="P271" s="297"/>
      <c r="Q271" s="297"/>
      <c r="R271" s="297"/>
      <c r="S271" s="297"/>
      <c r="T271" s="297"/>
      <c r="U271" s="297" t="s">
        <v>256</v>
      </c>
      <c r="V271" s="297" t="s">
        <v>256</v>
      </c>
      <c r="W271" s="297"/>
      <c r="X271" s="177" t="s">
        <v>2974</v>
      </c>
    </row>
    <row r="272" spans="1:24" ht="16.95" customHeight="1">
      <c r="A272" s="194" t="s">
        <v>4725</v>
      </c>
      <c r="B272" s="300">
        <v>3</v>
      </c>
      <c r="C272" s="300" t="s">
        <v>2437</v>
      </c>
      <c r="D272" s="300"/>
      <c r="E272" s="300" t="s">
        <v>256</v>
      </c>
      <c r="F272" s="195" t="s">
        <v>5971</v>
      </c>
      <c r="G272" s="194" t="s">
        <v>2463</v>
      </c>
      <c r="H272" s="300" t="s">
        <v>2498</v>
      </c>
      <c r="I272" s="300" t="s">
        <v>2500</v>
      </c>
      <c r="J272" s="300" t="s">
        <v>2960</v>
      </c>
      <c r="K272" s="194" t="s">
        <v>3198</v>
      </c>
      <c r="L272" s="196" t="s">
        <v>3013</v>
      </c>
      <c r="M272" s="197" t="s">
        <v>4286</v>
      </c>
      <c r="N272" s="308" t="s">
        <v>2933</v>
      </c>
      <c r="O272" s="300"/>
      <c r="P272" s="300"/>
      <c r="Q272" s="300"/>
      <c r="R272" s="300"/>
      <c r="S272" s="300"/>
      <c r="T272" s="300"/>
      <c r="U272" s="300" t="s">
        <v>256</v>
      </c>
      <c r="V272" s="300" t="s">
        <v>256</v>
      </c>
      <c r="W272" s="300"/>
      <c r="X272" s="177" t="s">
        <v>2974</v>
      </c>
    </row>
    <row r="273" spans="1:24" ht="16.95" customHeight="1">
      <c r="A273" s="182" t="s">
        <v>2190</v>
      </c>
      <c r="B273" s="297">
        <v>3</v>
      </c>
      <c r="C273" s="297" t="s">
        <v>2443</v>
      </c>
      <c r="D273" s="297"/>
      <c r="E273" s="297"/>
      <c r="F273" s="183" t="s">
        <v>5971</v>
      </c>
      <c r="G273" s="182" t="s">
        <v>2463</v>
      </c>
      <c r="H273" s="297" t="s">
        <v>2498</v>
      </c>
      <c r="I273" s="297"/>
      <c r="J273" s="297"/>
      <c r="K273" s="182"/>
      <c r="L273" s="184" t="s">
        <v>2465</v>
      </c>
      <c r="M273" s="185" t="s">
        <v>4287</v>
      </c>
      <c r="N273" s="305" t="s">
        <v>2631</v>
      </c>
      <c r="O273" s="297"/>
      <c r="P273" s="297"/>
      <c r="Q273" s="297"/>
      <c r="R273" s="297"/>
      <c r="S273" s="297"/>
      <c r="T273" s="297" t="s">
        <v>256</v>
      </c>
      <c r="U273" s="297" t="s">
        <v>256</v>
      </c>
      <c r="V273" s="297" t="s">
        <v>256</v>
      </c>
      <c r="W273" s="297"/>
      <c r="X273" s="177" t="s">
        <v>2963</v>
      </c>
    </row>
    <row r="274" spans="1:24" ht="16.95" customHeight="1">
      <c r="A274" s="182" t="s">
        <v>2264</v>
      </c>
      <c r="B274" s="297">
        <v>3</v>
      </c>
      <c r="C274" s="297" t="s">
        <v>2443</v>
      </c>
      <c r="D274" s="297"/>
      <c r="E274" s="297"/>
      <c r="F274" s="183" t="s">
        <v>5971</v>
      </c>
      <c r="G274" s="182" t="s">
        <v>2435</v>
      </c>
      <c r="H274" s="297" t="s">
        <v>2498</v>
      </c>
      <c r="I274" s="297" t="s">
        <v>2500</v>
      </c>
      <c r="J274" s="297" t="s">
        <v>2960</v>
      </c>
      <c r="K274" s="182" t="s">
        <v>3199</v>
      </c>
      <c r="L274" s="184" t="s">
        <v>2465</v>
      </c>
      <c r="M274" s="185" t="s">
        <v>4288</v>
      </c>
      <c r="N274" s="305" t="s">
        <v>2640</v>
      </c>
      <c r="O274" s="297"/>
      <c r="P274" s="297"/>
      <c r="Q274" s="297" t="s">
        <v>256</v>
      </c>
      <c r="R274" s="297"/>
      <c r="S274" s="297"/>
      <c r="T274" s="297" t="s">
        <v>256</v>
      </c>
      <c r="U274" s="297"/>
      <c r="V274" s="297" t="s">
        <v>256</v>
      </c>
      <c r="W274" s="297"/>
      <c r="X274" s="177" t="s">
        <v>2963</v>
      </c>
    </row>
    <row r="275" spans="1:24" ht="16.95" customHeight="1">
      <c r="A275" s="198" t="s">
        <v>2374</v>
      </c>
      <c r="B275" s="301">
        <v>3</v>
      </c>
      <c r="C275" s="301" t="s">
        <v>2425</v>
      </c>
      <c r="D275" s="301"/>
      <c r="E275" s="301"/>
      <c r="F275" s="199" t="s">
        <v>2438</v>
      </c>
      <c r="G275" s="198" t="s">
        <v>2467</v>
      </c>
      <c r="H275" s="301" t="s">
        <v>2498</v>
      </c>
      <c r="I275" s="301" t="s">
        <v>2500</v>
      </c>
      <c r="J275" s="301"/>
      <c r="K275" s="198"/>
      <c r="L275" s="200" t="s">
        <v>2444</v>
      </c>
      <c r="M275" s="201" t="s">
        <v>4289</v>
      </c>
      <c r="N275" s="309" t="s">
        <v>2636</v>
      </c>
      <c r="O275" s="301"/>
      <c r="P275" s="301"/>
      <c r="Q275" s="301"/>
      <c r="R275" s="301"/>
      <c r="S275" s="301"/>
      <c r="T275" s="301"/>
      <c r="U275" s="301"/>
      <c r="V275" s="301" t="s">
        <v>256</v>
      </c>
      <c r="W275" s="301" t="s">
        <v>256</v>
      </c>
      <c r="X275" s="177" t="s">
        <v>2963</v>
      </c>
    </row>
    <row r="276" spans="1:24" ht="16.95" customHeight="1">
      <c r="A276" s="206" t="s">
        <v>2146</v>
      </c>
      <c r="B276" s="303">
        <v>3</v>
      </c>
      <c r="C276" s="303" t="s">
        <v>2440</v>
      </c>
      <c r="D276" s="303"/>
      <c r="E276" s="303"/>
      <c r="F276" s="207" t="s">
        <v>5971</v>
      </c>
      <c r="G276" s="206" t="s">
        <v>2467</v>
      </c>
      <c r="H276" s="303" t="s">
        <v>2498</v>
      </c>
      <c r="I276" s="303"/>
      <c r="J276" s="303" t="s">
        <v>2960</v>
      </c>
      <c r="K276" s="206" t="s">
        <v>3200</v>
      </c>
      <c r="L276" s="208" t="s">
        <v>2434</v>
      </c>
      <c r="M276" s="209" t="s">
        <v>4290</v>
      </c>
      <c r="N276" s="311" t="s">
        <v>2659</v>
      </c>
      <c r="O276" s="303" t="s">
        <v>256</v>
      </c>
      <c r="P276" s="303" t="s">
        <v>256</v>
      </c>
      <c r="Q276" s="303"/>
      <c r="R276" s="303"/>
      <c r="S276" s="303"/>
      <c r="T276" s="303" t="s">
        <v>256</v>
      </c>
      <c r="U276" s="303" t="s">
        <v>256</v>
      </c>
      <c r="V276" s="303" t="s">
        <v>256</v>
      </c>
      <c r="W276" s="303"/>
      <c r="X276" s="177" t="s">
        <v>2959</v>
      </c>
    </row>
    <row r="277" spans="1:24" ht="16.95" customHeight="1">
      <c r="A277" s="194" t="s">
        <v>2186</v>
      </c>
      <c r="B277" s="300">
        <v>3</v>
      </c>
      <c r="C277" s="300" t="s">
        <v>2437</v>
      </c>
      <c r="D277" s="300"/>
      <c r="E277" s="300" t="s">
        <v>256</v>
      </c>
      <c r="F277" s="195" t="s">
        <v>5971</v>
      </c>
      <c r="G277" s="194" t="s">
        <v>2475</v>
      </c>
      <c r="H277" s="300" t="s">
        <v>2498</v>
      </c>
      <c r="I277" s="300" t="s">
        <v>2500</v>
      </c>
      <c r="J277" s="300"/>
      <c r="K277" s="194"/>
      <c r="L277" s="196" t="s">
        <v>2964</v>
      </c>
      <c r="M277" s="197" t="s">
        <v>4291</v>
      </c>
      <c r="N277" s="308" t="s">
        <v>2644</v>
      </c>
      <c r="O277" s="300"/>
      <c r="P277" s="300"/>
      <c r="Q277" s="300"/>
      <c r="R277" s="300"/>
      <c r="S277" s="300"/>
      <c r="T277" s="300" t="s">
        <v>3078</v>
      </c>
      <c r="U277" s="300" t="s">
        <v>256</v>
      </c>
      <c r="V277" s="300" t="s">
        <v>256</v>
      </c>
      <c r="W277" s="300"/>
      <c r="X277" s="177" t="s">
        <v>2959</v>
      </c>
    </row>
    <row r="278" spans="1:24" ht="16.95" customHeight="1">
      <c r="A278" s="190" t="s">
        <v>3201</v>
      </c>
      <c r="B278" s="299">
        <v>3</v>
      </c>
      <c r="C278" s="299" t="s">
        <v>2429</v>
      </c>
      <c r="D278" s="299"/>
      <c r="E278" s="299" t="s">
        <v>256</v>
      </c>
      <c r="F278" s="191" t="s">
        <v>5971</v>
      </c>
      <c r="G278" s="190" t="s">
        <v>2463</v>
      </c>
      <c r="H278" s="299" t="s">
        <v>2498</v>
      </c>
      <c r="I278" s="299" t="s">
        <v>2500</v>
      </c>
      <c r="J278" s="299" t="s">
        <v>2960</v>
      </c>
      <c r="K278" s="190" t="s">
        <v>3202</v>
      </c>
      <c r="L278" s="192" t="s">
        <v>2998</v>
      </c>
      <c r="M278" s="193" t="s">
        <v>4292</v>
      </c>
      <c r="N278" s="307" t="s">
        <v>2637</v>
      </c>
      <c r="O278" s="299"/>
      <c r="P278" s="299"/>
      <c r="Q278" s="299"/>
      <c r="R278" s="299"/>
      <c r="S278" s="299"/>
      <c r="T278" s="299"/>
      <c r="U278" s="299"/>
      <c r="V278" s="299" t="s">
        <v>256</v>
      </c>
      <c r="W278" s="299"/>
      <c r="X278" s="177" t="s">
        <v>2963</v>
      </c>
    </row>
    <row r="279" spans="1:24" ht="16.95" customHeight="1">
      <c r="A279" s="190" t="s">
        <v>3203</v>
      </c>
      <c r="B279" s="299">
        <v>3</v>
      </c>
      <c r="C279" s="299" t="s">
        <v>2429</v>
      </c>
      <c r="D279" s="299"/>
      <c r="E279" s="299" t="s">
        <v>256</v>
      </c>
      <c r="F279" s="191" t="s">
        <v>5971</v>
      </c>
      <c r="G279" s="190" t="s">
        <v>2461</v>
      </c>
      <c r="H279" s="299" t="s">
        <v>2498</v>
      </c>
      <c r="I279" s="299" t="s">
        <v>2500</v>
      </c>
      <c r="J279" s="299" t="s">
        <v>2960</v>
      </c>
      <c r="K279" s="190" t="s">
        <v>3199</v>
      </c>
      <c r="L279" s="192" t="s">
        <v>2998</v>
      </c>
      <c r="M279" s="193" t="s">
        <v>4293</v>
      </c>
      <c r="N279" s="307" t="s">
        <v>2641</v>
      </c>
      <c r="O279" s="299"/>
      <c r="P279" s="299"/>
      <c r="Q279" s="299" t="s">
        <v>256</v>
      </c>
      <c r="R279" s="299"/>
      <c r="S279" s="299"/>
      <c r="T279" s="299" t="s">
        <v>256</v>
      </c>
      <c r="U279" s="299"/>
      <c r="V279" s="299" t="s">
        <v>256</v>
      </c>
      <c r="W279" s="299"/>
      <c r="X279" s="177" t="s">
        <v>2963</v>
      </c>
    </row>
    <row r="280" spans="1:24" ht="16.95" customHeight="1">
      <c r="A280" s="198" t="s">
        <v>5947</v>
      </c>
      <c r="B280" s="301">
        <v>3</v>
      </c>
      <c r="C280" s="301" t="s">
        <v>4556</v>
      </c>
      <c r="D280" s="301" t="s">
        <v>256</v>
      </c>
      <c r="E280" s="301"/>
      <c r="F280" s="199" t="s">
        <v>5971</v>
      </c>
      <c r="G280" s="198" t="s">
        <v>2452</v>
      </c>
      <c r="H280" s="301" t="s">
        <v>2498</v>
      </c>
      <c r="I280" s="301" t="s">
        <v>2500</v>
      </c>
      <c r="J280" s="301" t="s">
        <v>2960</v>
      </c>
      <c r="K280" s="198" t="s">
        <v>3204</v>
      </c>
      <c r="L280" s="200" t="s">
        <v>2448</v>
      </c>
      <c r="M280" s="201" t="s">
        <v>4294</v>
      </c>
      <c r="N280" s="309" t="s">
        <v>2685</v>
      </c>
      <c r="O280" s="301"/>
      <c r="P280" s="301"/>
      <c r="Q280" s="301" t="s">
        <v>256</v>
      </c>
      <c r="R280" s="301"/>
      <c r="S280" s="301" t="s">
        <v>256</v>
      </c>
      <c r="T280" s="301" t="s">
        <v>256</v>
      </c>
      <c r="U280" s="301"/>
      <c r="V280" s="301" t="s">
        <v>256</v>
      </c>
      <c r="W280" s="301" t="s">
        <v>256</v>
      </c>
      <c r="X280" s="177" t="s">
        <v>2959</v>
      </c>
    </row>
    <row r="281" spans="1:24" ht="16.95" customHeight="1">
      <c r="A281" s="198" t="s">
        <v>2135</v>
      </c>
      <c r="B281" s="301">
        <v>3</v>
      </c>
      <c r="C281" s="301" t="s">
        <v>4556</v>
      </c>
      <c r="D281" s="301" t="s">
        <v>256</v>
      </c>
      <c r="E281" s="301"/>
      <c r="F281" s="199" t="s">
        <v>5971</v>
      </c>
      <c r="G281" s="198" t="s">
        <v>2452</v>
      </c>
      <c r="H281" s="301" t="s">
        <v>2498</v>
      </c>
      <c r="I281" s="301" t="s">
        <v>2500</v>
      </c>
      <c r="J281" s="301" t="s">
        <v>2960</v>
      </c>
      <c r="K281" s="198" t="s">
        <v>3205</v>
      </c>
      <c r="L281" s="200" t="s">
        <v>2434</v>
      </c>
      <c r="M281" s="201" t="s">
        <v>4295</v>
      </c>
      <c r="N281" s="309" t="s">
        <v>2678</v>
      </c>
      <c r="O281" s="301"/>
      <c r="P281" s="301" t="s">
        <v>256</v>
      </c>
      <c r="Q281" s="301" t="s">
        <v>256</v>
      </c>
      <c r="R281" s="301"/>
      <c r="S281" s="301" t="s">
        <v>256</v>
      </c>
      <c r="T281" s="301" t="s">
        <v>256</v>
      </c>
      <c r="U281" s="301"/>
      <c r="V281" s="301"/>
      <c r="W281" s="301" t="s">
        <v>256</v>
      </c>
      <c r="X281" s="177" t="s">
        <v>2959</v>
      </c>
    </row>
    <row r="282" spans="1:24" ht="16.95" customHeight="1">
      <c r="A282" s="190" t="s">
        <v>2159</v>
      </c>
      <c r="B282" s="299">
        <v>3</v>
      </c>
      <c r="C282" s="299" t="s">
        <v>2429</v>
      </c>
      <c r="D282" s="299"/>
      <c r="E282" s="299" t="s">
        <v>256</v>
      </c>
      <c r="F282" s="191" t="s">
        <v>5971</v>
      </c>
      <c r="G282" s="190" t="s">
        <v>2435</v>
      </c>
      <c r="H282" s="299" t="s">
        <v>2498</v>
      </c>
      <c r="I282" s="299" t="s">
        <v>2500</v>
      </c>
      <c r="J282" s="299" t="s">
        <v>2960</v>
      </c>
      <c r="K282" s="190" t="s">
        <v>3206</v>
      </c>
      <c r="L282" s="192" t="s">
        <v>2964</v>
      </c>
      <c r="M282" s="193" t="s">
        <v>4296</v>
      </c>
      <c r="N282" s="307" t="s">
        <v>2687</v>
      </c>
      <c r="O282" s="299"/>
      <c r="P282" s="299"/>
      <c r="Q282" s="299" t="s">
        <v>256</v>
      </c>
      <c r="R282" s="299"/>
      <c r="S282" s="299" t="s">
        <v>256</v>
      </c>
      <c r="T282" s="299"/>
      <c r="U282" s="299"/>
      <c r="V282" s="299"/>
      <c r="W282" s="299"/>
      <c r="X282" s="177" t="s">
        <v>2959</v>
      </c>
    </row>
    <row r="283" spans="1:24" ht="16.95" customHeight="1">
      <c r="A283" s="202" t="s">
        <v>3207</v>
      </c>
      <c r="B283" s="302">
        <v>3</v>
      </c>
      <c r="C283" s="302" t="s">
        <v>2967</v>
      </c>
      <c r="D283" s="302"/>
      <c r="E283" s="302" t="s">
        <v>256</v>
      </c>
      <c r="F283" s="203" t="s">
        <v>5971</v>
      </c>
      <c r="G283" s="202" t="s">
        <v>2452</v>
      </c>
      <c r="H283" s="302" t="s">
        <v>2498</v>
      </c>
      <c r="I283" s="302"/>
      <c r="J283" s="302"/>
      <c r="K283" s="202"/>
      <c r="L283" s="204" t="s">
        <v>3013</v>
      </c>
      <c r="M283" s="205" t="s">
        <v>4297</v>
      </c>
      <c r="N283" s="310" t="s">
        <v>3208</v>
      </c>
      <c r="O283" s="302" t="s">
        <v>256</v>
      </c>
      <c r="P283" s="302" t="s">
        <v>256</v>
      </c>
      <c r="Q283" s="302"/>
      <c r="R283" s="302"/>
      <c r="S283" s="302"/>
      <c r="T283" s="302"/>
      <c r="U283" s="302"/>
      <c r="V283" s="302" t="s">
        <v>256</v>
      </c>
      <c r="W283" s="302"/>
      <c r="X283" s="385" t="s">
        <v>3049</v>
      </c>
    </row>
    <row r="284" spans="1:24" ht="16.95" customHeight="1">
      <c r="A284" s="202" t="s">
        <v>3209</v>
      </c>
      <c r="B284" s="302">
        <v>3</v>
      </c>
      <c r="C284" s="302" t="s">
        <v>2967</v>
      </c>
      <c r="D284" s="302"/>
      <c r="E284" s="302" t="s">
        <v>256</v>
      </c>
      <c r="F284" s="203" t="s">
        <v>5971</v>
      </c>
      <c r="G284" s="202" t="s">
        <v>2452</v>
      </c>
      <c r="H284" s="302" t="s">
        <v>2498</v>
      </c>
      <c r="I284" s="302" t="s">
        <v>2500</v>
      </c>
      <c r="J284" s="302" t="s">
        <v>2960</v>
      </c>
      <c r="K284" s="202" t="s">
        <v>3210</v>
      </c>
      <c r="L284" s="204" t="s">
        <v>2964</v>
      </c>
      <c r="M284" s="205" t="s">
        <v>4298</v>
      </c>
      <c r="N284" s="310" t="s">
        <v>3211</v>
      </c>
      <c r="O284" s="302"/>
      <c r="P284" s="302" t="s">
        <v>256</v>
      </c>
      <c r="Q284" s="302"/>
      <c r="R284" s="302"/>
      <c r="S284" s="302"/>
      <c r="T284" s="302" t="s">
        <v>256</v>
      </c>
      <c r="U284" s="302" t="s">
        <v>256</v>
      </c>
      <c r="V284" s="302" t="s">
        <v>256</v>
      </c>
      <c r="W284" s="302"/>
      <c r="X284" s="385" t="s">
        <v>3049</v>
      </c>
    </row>
    <row r="285" spans="1:24" ht="16.95" customHeight="1">
      <c r="A285" s="202" t="s">
        <v>3212</v>
      </c>
      <c r="B285" s="302">
        <v>3</v>
      </c>
      <c r="C285" s="302" t="s">
        <v>2967</v>
      </c>
      <c r="D285" s="302"/>
      <c r="E285" s="302"/>
      <c r="F285" s="203" t="s">
        <v>2438</v>
      </c>
      <c r="G285" s="202" t="s">
        <v>2461</v>
      </c>
      <c r="H285" s="302" t="s">
        <v>2498</v>
      </c>
      <c r="I285" s="302"/>
      <c r="J285" s="302"/>
      <c r="K285" s="202"/>
      <c r="L285" s="204" t="s">
        <v>2434</v>
      </c>
      <c r="M285" s="205" t="s">
        <v>4299</v>
      </c>
      <c r="N285" s="310" t="s">
        <v>3213</v>
      </c>
      <c r="O285" s="302" t="s">
        <v>256</v>
      </c>
      <c r="P285" s="302" t="s">
        <v>256</v>
      </c>
      <c r="Q285" s="302"/>
      <c r="R285" s="302"/>
      <c r="S285" s="302"/>
      <c r="T285" s="302"/>
      <c r="U285" s="302"/>
      <c r="V285" s="302"/>
      <c r="W285" s="302"/>
      <c r="X285" s="385" t="s">
        <v>3049</v>
      </c>
    </row>
    <row r="286" spans="1:24" ht="16.95" customHeight="1">
      <c r="A286" s="198" t="s">
        <v>3214</v>
      </c>
      <c r="B286" s="301">
        <v>3</v>
      </c>
      <c r="C286" s="301" t="s">
        <v>2425</v>
      </c>
      <c r="D286" s="301"/>
      <c r="E286" s="301" t="s">
        <v>256</v>
      </c>
      <c r="F286" s="199" t="s">
        <v>6007</v>
      </c>
      <c r="G286" s="198" t="s">
        <v>2475</v>
      </c>
      <c r="H286" s="301" t="s">
        <v>2498</v>
      </c>
      <c r="I286" s="301" t="s">
        <v>2500</v>
      </c>
      <c r="J286" s="301"/>
      <c r="K286" s="198"/>
      <c r="L286" s="200" t="s">
        <v>2964</v>
      </c>
      <c r="M286" s="201" t="s">
        <v>4300</v>
      </c>
      <c r="N286" s="309" t="s">
        <v>3215</v>
      </c>
      <c r="O286" s="301"/>
      <c r="P286" s="301"/>
      <c r="Q286" s="301"/>
      <c r="R286" s="301"/>
      <c r="S286" s="301" t="s">
        <v>256</v>
      </c>
      <c r="T286" s="301" t="s">
        <v>256</v>
      </c>
      <c r="U286" s="301"/>
      <c r="V286" s="301" t="s">
        <v>256</v>
      </c>
      <c r="W286" s="301" t="s">
        <v>256</v>
      </c>
      <c r="X286" s="385" t="s">
        <v>3123</v>
      </c>
    </row>
    <row r="287" spans="1:24" ht="16.95" customHeight="1">
      <c r="A287" s="182" t="s">
        <v>3216</v>
      </c>
      <c r="B287" s="297">
        <v>3</v>
      </c>
      <c r="C287" s="297" t="s">
        <v>3138</v>
      </c>
      <c r="D287" s="297"/>
      <c r="E287" s="297"/>
      <c r="F287" s="183" t="s">
        <v>3217</v>
      </c>
      <c r="G287" s="182" t="s">
        <v>3218</v>
      </c>
      <c r="H287" s="297" t="s">
        <v>3146</v>
      </c>
      <c r="I287" s="297" t="s">
        <v>2989</v>
      </c>
      <c r="J287" s="297" t="s">
        <v>3152</v>
      </c>
      <c r="K287" s="182" t="s">
        <v>3219</v>
      </c>
      <c r="L287" s="184" t="s">
        <v>3140</v>
      </c>
      <c r="M287" s="185" t="s">
        <v>4301</v>
      </c>
      <c r="N287" s="305" t="s">
        <v>3220</v>
      </c>
      <c r="O287" s="297"/>
      <c r="P287" s="297"/>
      <c r="Q287" s="297"/>
      <c r="R287" s="297"/>
      <c r="S287" s="297"/>
      <c r="T287" s="297"/>
      <c r="U287" s="297"/>
      <c r="V287" s="297" t="s">
        <v>3078</v>
      </c>
      <c r="W287" s="297"/>
      <c r="X287" s="385" t="s">
        <v>3149</v>
      </c>
    </row>
    <row r="288" spans="1:24" ht="16.95" customHeight="1">
      <c r="A288" s="202" t="s">
        <v>3221</v>
      </c>
      <c r="B288" s="302">
        <v>3</v>
      </c>
      <c r="C288" s="302" t="s">
        <v>2988</v>
      </c>
      <c r="D288" s="302"/>
      <c r="E288" s="302"/>
      <c r="F288" s="203" t="s">
        <v>5971</v>
      </c>
      <c r="G288" s="202" t="s">
        <v>3218</v>
      </c>
      <c r="H288" s="302" t="s">
        <v>3146</v>
      </c>
      <c r="I288" s="302" t="s">
        <v>2989</v>
      </c>
      <c r="J288" s="302" t="s">
        <v>3152</v>
      </c>
      <c r="K288" s="202" t="s">
        <v>3222</v>
      </c>
      <c r="L288" s="204" t="s">
        <v>3159</v>
      </c>
      <c r="M288" s="205" t="s">
        <v>4302</v>
      </c>
      <c r="N288" s="310" t="s">
        <v>3223</v>
      </c>
      <c r="O288" s="302" t="s">
        <v>3078</v>
      </c>
      <c r="P288" s="302"/>
      <c r="Q288" s="302"/>
      <c r="R288" s="302"/>
      <c r="S288" s="302"/>
      <c r="T288" s="302" t="s">
        <v>3078</v>
      </c>
      <c r="U288" s="302" t="s">
        <v>3078</v>
      </c>
      <c r="V288" s="302" t="s">
        <v>3078</v>
      </c>
      <c r="W288" s="302"/>
      <c r="X288" s="385" t="s">
        <v>3161</v>
      </c>
    </row>
    <row r="289" spans="1:24" ht="16.95" customHeight="1">
      <c r="A289" s="206" t="s">
        <v>2386</v>
      </c>
      <c r="B289" s="303">
        <v>4</v>
      </c>
      <c r="C289" s="303" t="s">
        <v>2440</v>
      </c>
      <c r="D289" s="303"/>
      <c r="E289" s="303" t="s">
        <v>256</v>
      </c>
      <c r="F289" s="207" t="s">
        <v>5971</v>
      </c>
      <c r="G289" s="206" t="s">
        <v>2452</v>
      </c>
      <c r="H289" s="303" t="s">
        <v>2498</v>
      </c>
      <c r="I289" s="303" t="s">
        <v>2500</v>
      </c>
      <c r="J289" s="303" t="s">
        <v>2960</v>
      </c>
      <c r="K289" s="206" t="s">
        <v>3224</v>
      </c>
      <c r="L289" s="208" t="s">
        <v>3013</v>
      </c>
      <c r="M289" s="209" t="s">
        <v>4303</v>
      </c>
      <c r="N289" s="311" t="s">
        <v>2715</v>
      </c>
      <c r="O289" s="303"/>
      <c r="P289" s="303"/>
      <c r="Q289" s="303"/>
      <c r="R289" s="303"/>
      <c r="S289" s="303"/>
      <c r="T289" s="303"/>
      <c r="U289" s="303"/>
      <c r="V289" s="303" t="s">
        <v>256</v>
      </c>
      <c r="W289" s="303" t="s">
        <v>256</v>
      </c>
      <c r="X289" s="177" t="s">
        <v>2959</v>
      </c>
    </row>
    <row r="290" spans="1:24" ht="16.95" customHeight="1">
      <c r="A290" s="186" t="s">
        <v>3225</v>
      </c>
      <c r="B290" s="298">
        <v>4</v>
      </c>
      <c r="C290" s="298" t="s">
        <v>2433</v>
      </c>
      <c r="D290" s="298"/>
      <c r="E290" s="298" t="s">
        <v>256</v>
      </c>
      <c r="F290" s="187" t="s">
        <v>5971</v>
      </c>
      <c r="G290" s="186" t="s">
        <v>2488</v>
      </c>
      <c r="H290" s="298" t="s">
        <v>2498</v>
      </c>
      <c r="I290" s="298"/>
      <c r="J290" s="298"/>
      <c r="K290" s="186"/>
      <c r="L290" s="188" t="s">
        <v>2998</v>
      </c>
      <c r="M290" s="189" t="s">
        <v>4304</v>
      </c>
      <c r="N290" s="306" t="s">
        <v>2707</v>
      </c>
      <c r="O290" s="298"/>
      <c r="P290" s="298" t="s">
        <v>3078</v>
      </c>
      <c r="Q290" s="298"/>
      <c r="R290" s="298" t="s">
        <v>256</v>
      </c>
      <c r="S290" s="298"/>
      <c r="T290" s="298"/>
      <c r="U290" s="298"/>
      <c r="V290" s="298"/>
      <c r="W290" s="298"/>
      <c r="X290" s="177" t="s">
        <v>2959</v>
      </c>
    </row>
    <row r="291" spans="1:24" ht="16.95" customHeight="1">
      <c r="A291" s="186" t="s">
        <v>2123</v>
      </c>
      <c r="B291" s="298">
        <v>4</v>
      </c>
      <c r="C291" s="298" t="s">
        <v>2433</v>
      </c>
      <c r="D291" s="298"/>
      <c r="E291" s="298" t="s">
        <v>256</v>
      </c>
      <c r="F291" s="187" t="s">
        <v>5971</v>
      </c>
      <c r="G291" s="186" t="s">
        <v>2488</v>
      </c>
      <c r="H291" s="298" t="s">
        <v>2498</v>
      </c>
      <c r="I291" s="298"/>
      <c r="J291" s="298"/>
      <c r="K291" s="186"/>
      <c r="L291" s="188" t="s">
        <v>2998</v>
      </c>
      <c r="M291" s="189" t="s">
        <v>4305</v>
      </c>
      <c r="N291" s="306" t="s">
        <v>3226</v>
      </c>
      <c r="O291" s="298"/>
      <c r="P291" s="298" t="s">
        <v>3078</v>
      </c>
      <c r="Q291" s="298"/>
      <c r="R291" s="298" t="s">
        <v>256</v>
      </c>
      <c r="S291" s="298"/>
      <c r="T291" s="298"/>
      <c r="U291" s="298"/>
      <c r="V291" s="298"/>
      <c r="W291" s="298"/>
      <c r="X291" s="177" t="s">
        <v>2959</v>
      </c>
    </row>
    <row r="292" spans="1:24" ht="16.95" customHeight="1">
      <c r="A292" s="186" t="s">
        <v>2136</v>
      </c>
      <c r="B292" s="298">
        <v>4</v>
      </c>
      <c r="C292" s="298" t="s">
        <v>2433</v>
      </c>
      <c r="D292" s="298"/>
      <c r="E292" s="298" t="s">
        <v>256</v>
      </c>
      <c r="F292" s="187" t="s">
        <v>5971</v>
      </c>
      <c r="G292" s="186" t="s">
        <v>2461</v>
      </c>
      <c r="H292" s="298" t="s">
        <v>2498</v>
      </c>
      <c r="I292" s="298" t="s">
        <v>2500</v>
      </c>
      <c r="J292" s="298" t="s">
        <v>2960</v>
      </c>
      <c r="K292" s="186" t="s">
        <v>3227</v>
      </c>
      <c r="L292" s="188" t="s">
        <v>2964</v>
      </c>
      <c r="M292" s="189" t="s">
        <v>4306</v>
      </c>
      <c r="N292" s="306" t="s">
        <v>2709</v>
      </c>
      <c r="O292" s="298"/>
      <c r="P292" s="298" t="s">
        <v>256</v>
      </c>
      <c r="Q292" s="298"/>
      <c r="R292" s="298" t="s">
        <v>256</v>
      </c>
      <c r="S292" s="298"/>
      <c r="T292" s="298" t="s">
        <v>256</v>
      </c>
      <c r="U292" s="298" t="s">
        <v>256</v>
      </c>
      <c r="V292" s="298" t="s">
        <v>256</v>
      </c>
      <c r="W292" s="298"/>
      <c r="X292" s="177" t="s">
        <v>2959</v>
      </c>
    </row>
    <row r="293" spans="1:24" ht="16.95" customHeight="1">
      <c r="A293" s="194" t="s">
        <v>2236</v>
      </c>
      <c r="B293" s="300">
        <v>4</v>
      </c>
      <c r="C293" s="300" t="s">
        <v>2437</v>
      </c>
      <c r="D293" s="300"/>
      <c r="E293" s="300"/>
      <c r="F293" s="195" t="s">
        <v>5971</v>
      </c>
      <c r="G293" s="194" t="s">
        <v>2452</v>
      </c>
      <c r="H293" s="300" t="s">
        <v>2498</v>
      </c>
      <c r="I293" s="300" t="s">
        <v>2500</v>
      </c>
      <c r="J293" s="300"/>
      <c r="K293" s="194"/>
      <c r="L293" s="196" t="s">
        <v>2465</v>
      </c>
      <c r="M293" s="197" t="s">
        <v>4307</v>
      </c>
      <c r="N293" s="308" t="s">
        <v>2722</v>
      </c>
      <c r="O293" s="300"/>
      <c r="P293" s="300"/>
      <c r="Q293" s="300" t="s">
        <v>256</v>
      </c>
      <c r="R293" s="300"/>
      <c r="S293" s="300"/>
      <c r="T293" s="300" t="s">
        <v>256</v>
      </c>
      <c r="U293" s="300" t="s">
        <v>256</v>
      </c>
      <c r="V293" s="300" t="s">
        <v>256</v>
      </c>
      <c r="W293" s="300"/>
      <c r="X293" s="177" t="s">
        <v>2959</v>
      </c>
    </row>
    <row r="294" spans="1:24" ht="16.95" customHeight="1">
      <c r="A294" s="202" t="s">
        <v>2218</v>
      </c>
      <c r="B294" s="302">
        <v>4</v>
      </c>
      <c r="C294" s="302" t="s">
        <v>2967</v>
      </c>
      <c r="D294" s="302"/>
      <c r="E294" s="302"/>
      <c r="F294" s="203" t="s">
        <v>5971</v>
      </c>
      <c r="G294" s="202" t="s">
        <v>2452</v>
      </c>
      <c r="H294" s="302" t="s">
        <v>2498</v>
      </c>
      <c r="I294" s="302" t="s">
        <v>2500</v>
      </c>
      <c r="J294" s="302"/>
      <c r="K294" s="202"/>
      <c r="L294" s="204" t="s">
        <v>2434</v>
      </c>
      <c r="M294" s="205" t="s">
        <v>4308</v>
      </c>
      <c r="N294" s="310" t="s">
        <v>2693</v>
      </c>
      <c r="O294" s="302" t="s">
        <v>256</v>
      </c>
      <c r="P294" s="302"/>
      <c r="Q294" s="302" t="s">
        <v>256</v>
      </c>
      <c r="R294" s="302"/>
      <c r="S294" s="302"/>
      <c r="T294" s="302" t="s">
        <v>256</v>
      </c>
      <c r="U294" s="302" t="s">
        <v>256</v>
      </c>
      <c r="V294" s="302" t="s">
        <v>256</v>
      </c>
      <c r="W294" s="302"/>
      <c r="X294" s="177" t="s">
        <v>2963</v>
      </c>
    </row>
    <row r="295" spans="1:24" ht="16.95" customHeight="1">
      <c r="A295" s="202" t="s">
        <v>2272</v>
      </c>
      <c r="B295" s="302">
        <v>4</v>
      </c>
      <c r="C295" s="302" t="s">
        <v>2967</v>
      </c>
      <c r="D295" s="302"/>
      <c r="E295" s="302" t="s">
        <v>256</v>
      </c>
      <c r="F295" s="203" t="s">
        <v>5971</v>
      </c>
      <c r="G295" s="202" t="s">
        <v>2452</v>
      </c>
      <c r="H295" s="302" t="s">
        <v>2498</v>
      </c>
      <c r="I295" s="302" t="s">
        <v>2500</v>
      </c>
      <c r="J295" s="302"/>
      <c r="K295" s="202"/>
      <c r="L295" s="204" t="s">
        <v>2964</v>
      </c>
      <c r="M295" s="205" t="s">
        <v>4309</v>
      </c>
      <c r="N295" s="310" t="s">
        <v>2706</v>
      </c>
      <c r="O295" s="302" t="s">
        <v>256</v>
      </c>
      <c r="P295" s="302"/>
      <c r="Q295" s="302"/>
      <c r="R295" s="302"/>
      <c r="S295" s="302"/>
      <c r="T295" s="302"/>
      <c r="U295" s="302"/>
      <c r="V295" s="302"/>
      <c r="W295" s="302"/>
      <c r="X295" s="177" t="s">
        <v>2959</v>
      </c>
    </row>
    <row r="296" spans="1:24" ht="16.95" customHeight="1">
      <c r="A296" s="202" t="s">
        <v>2266</v>
      </c>
      <c r="B296" s="302">
        <v>4</v>
      </c>
      <c r="C296" s="302" t="s">
        <v>2967</v>
      </c>
      <c r="D296" s="302"/>
      <c r="E296" s="302" t="s">
        <v>256</v>
      </c>
      <c r="F296" s="203" t="s">
        <v>5971</v>
      </c>
      <c r="G296" s="202" t="s">
        <v>2463</v>
      </c>
      <c r="H296" s="302" t="s">
        <v>2498</v>
      </c>
      <c r="I296" s="302" t="s">
        <v>2500</v>
      </c>
      <c r="J296" s="302" t="s">
        <v>2960</v>
      </c>
      <c r="K296" s="202" t="s">
        <v>3228</v>
      </c>
      <c r="L296" s="204" t="s">
        <v>2964</v>
      </c>
      <c r="M296" s="205" t="s">
        <v>4310</v>
      </c>
      <c r="N296" s="310" t="s">
        <v>2704</v>
      </c>
      <c r="O296" s="302" t="s">
        <v>256</v>
      </c>
      <c r="P296" s="302"/>
      <c r="Q296" s="302" t="s">
        <v>256</v>
      </c>
      <c r="R296" s="302"/>
      <c r="S296" s="302"/>
      <c r="T296" s="302" t="s">
        <v>256</v>
      </c>
      <c r="U296" s="302"/>
      <c r="V296" s="302" t="s">
        <v>256</v>
      </c>
      <c r="W296" s="302"/>
      <c r="X296" s="177" t="s">
        <v>2959</v>
      </c>
    </row>
    <row r="297" spans="1:24" ht="16.95" customHeight="1">
      <c r="A297" s="182" t="s">
        <v>2336</v>
      </c>
      <c r="B297" s="297">
        <v>4</v>
      </c>
      <c r="C297" s="297" t="s">
        <v>2443</v>
      </c>
      <c r="D297" s="297"/>
      <c r="E297" s="297" t="s">
        <v>256</v>
      </c>
      <c r="F297" s="183" t="s">
        <v>2438</v>
      </c>
      <c r="G297" s="182" t="s">
        <v>2463</v>
      </c>
      <c r="H297" s="297" t="s">
        <v>2498</v>
      </c>
      <c r="I297" s="297" t="s">
        <v>2500</v>
      </c>
      <c r="J297" s="297"/>
      <c r="K297" s="182"/>
      <c r="L297" s="184" t="s">
        <v>3013</v>
      </c>
      <c r="M297" s="185" t="s">
        <v>4311</v>
      </c>
      <c r="N297" s="305" t="s">
        <v>2726</v>
      </c>
      <c r="O297" s="297"/>
      <c r="P297" s="297"/>
      <c r="Q297" s="297" t="s">
        <v>256</v>
      </c>
      <c r="R297" s="297"/>
      <c r="S297" s="297"/>
      <c r="T297" s="297"/>
      <c r="U297" s="297"/>
      <c r="V297" s="297" t="s">
        <v>256</v>
      </c>
      <c r="W297" s="297"/>
      <c r="X297" s="177" t="s">
        <v>2959</v>
      </c>
    </row>
    <row r="298" spans="1:24" ht="16.95" customHeight="1">
      <c r="A298" s="182" t="s">
        <v>2185</v>
      </c>
      <c r="B298" s="297">
        <v>4</v>
      </c>
      <c r="C298" s="297" t="s">
        <v>2443</v>
      </c>
      <c r="D298" s="297"/>
      <c r="E298" s="297" t="s">
        <v>256</v>
      </c>
      <c r="F298" s="183" t="s">
        <v>5971</v>
      </c>
      <c r="G298" s="182" t="s">
        <v>2461</v>
      </c>
      <c r="H298" s="297" t="s">
        <v>2498</v>
      </c>
      <c r="I298" s="297" t="s">
        <v>2500</v>
      </c>
      <c r="J298" s="297" t="s">
        <v>2960</v>
      </c>
      <c r="K298" s="182" t="s">
        <v>3229</v>
      </c>
      <c r="L298" s="184" t="s">
        <v>3013</v>
      </c>
      <c r="M298" s="185" t="s">
        <v>4312</v>
      </c>
      <c r="N298" s="305" t="s">
        <v>2720</v>
      </c>
      <c r="O298" s="297"/>
      <c r="P298" s="297"/>
      <c r="Q298" s="297" t="s">
        <v>256</v>
      </c>
      <c r="R298" s="297"/>
      <c r="S298" s="297" t="s">
        <v>256</v>
      </c>
      <c r="T298" s="297"/>
      <c r="U298" s="297"/>
      <c r="V298" s="297"/>
      <c r="W298" s="297"/>
      <c r="X298" s="177" t="s">
        <v>2959</v>
      </c>
    </row>
    <row r="299" spans="1:24" ht="16.95" customHeight="1">
      <c r="A299" s="198" t="s">
        <v>2213</v>
      </c>
      <c r="B299" s="301">
        <v>4</v>
      </c>
      <c r="C299" s="301" t="s">
        <v>2425</v>
      </c>
      <c r="D299" s="301"/>
      <c r="E299" s="301" t="s">
        <v>256</v>
      </c>
      <c r="F299" s="199" t="s">
        <v>5971</v>
      </c>
      <c r="G299" s="198" t="s">
        <v>2449</v>
      </c>
      <c r="H299" s="301" t="s">
        <v>2498</v>
      </c>
      <c r="I299" s="301" t="s">
        <v>2500</v>
      </c>
      <c r="J299" s="301" t="s">
        <v>2960</v>
      </c>
      <c r="K299" s="198" t="s">
        <v>3230</v>
      </c>
      <c r="L299" s="200" t="s">
        <v>2998</v>
      </c>
      <c r="M299" s="201" t="s">
        <v>4313</v>
      </c>
      <c r="N299" s="309" t="s">
        <v>2711</v>
      </c>
      <c r="O299" s="301"/>
      <c r="P299" s="301" t="s">
        <v>256</v>
      </c>
      <c r="Q299" s="301" t="s">
        <v>256</v>
      </c>
      <c r="R299" s="301"/>
      <c r="S299" s="301"/>
      <c r="T299" s="301"/>
      <c r="U299" s="301"/>
      <c r="V299" s="301" t="s">
        <v>256</v>
      </c>
      <c r="W299" s="301"/>
      <c r="X299" s="177" t="s">
        <v>2959</v>
      </c>
    </row>
    <row r="300" spans="1:24" ht="16.95" customHeight="1">
      <c r="A300" s="186" t="s">
        <v>2139</v>
      </c>
      <c r="B300" s="298">
        <v>4</v>
      </c>
      <c r="C300" s="298" t="s">
        <v>2433</v>
      </c>
      <c r="D300" s="298"/>
      <c r="E300" s="298"/>
      <c r="F300" s="187" t="s">
        <v>5971</v>
      </c>
      <c r="G300" s="186" t="s">
        <v>2467</v>
      </c>
      <c r="H300" s="298" t="s">
        <v>2498</v>
      </c>
      <c r="I300" s="298" t="s">
        <v>2500</v>
      </c>
      <c r="J300" s="298"/>
      <c r="K300" s="186"/>
      <c r="L300" s="188" t="s">
        <v>2444</v>
      </c>
      <c r="M300" s="189" t="s">
        <v>4314</v>
      </c>
      <c r="N300" s="306" t="s">
        <v>2710</v>
      </c>
      <c r="O300" s="298"/>
      <c r="P300" s="298" t="s">
        <v>256</v>
      </c>
      <c r="Q300" s="298"/>
      <c r="R300" s="298" t="s">
        <v>256</v>
      </c>
      <c r="S300" s="298"/>
      <c r="T300" s="298"/>
      <c r="U300" s="298"/>
      <c r="V300" s="298"/>
      <c r="W300" s="298"/>
      <c r="X300" s="177" t="s">
        <v>2959</v>
      </c>
    </row>
    <row r="301" spans="1:24" ht="16.95" customHeight="1">
      <c r="A301" s="182" t="s">
        <v>2221</v>
      </c>
      <c r="B301" s="297">
        <v>4</v>
      </c>
      <c r="C301" s="297" t="s">
        <v>2443</v>
      </c>
      <c r="D301" s="297"/>
      <c r="E301" s="297"/>
      <c r="F301" s="183" t="s">
        <v>5971</v>
      </c>
      <c r="G301" s="182" t="s">
        <v>2454</v>
      </c>
      <c r="H301" s="297" t="s">
        <v>2498</v>
      </c>
      <c r="I301" s="297"/>
      <c r="J301" s="297"/>
      <c r="K301" s="182"/>
      <c r="L301" s="184" t="s">
        <v>2465</v>
      </c>
      <c r="M301" s="185" t="s">
        <v>4315</v>
      </c>
      <c r="N301" s="305" t="s">
        <v>2699</v>
      </c>
      <c r="O301" s="297" t="s">
        <v>256</v>
      </c>
      <c r="P301" s="297"/>
      <c r="Q301" s="297"/>
      <c r="R301" s="297"/>
      <c r="S301" s="297"/>
      <c r="T301" s="297" t="s">
        <v>256</v>
      </c>
      <c r="U301" s="297" t="s">
        <v>256</v>
      </c>
      <c r="V301" s="297" t="s">
        <v>256</v>
      </c>
      <c r="W301" s="297"/>
      <c r="X301" s="177" t="s">
        <v>2959</v>
      </c>
    </row>
    <row r="302" spans="1:24" ht="16.95" customHeight="1">
      <c r="A302" s="206" t="s">
        <v>2219</v>
      </c>
      <c r="B302" s="303">
        <v>4</v>
      </c>
      <c r="C302" s="303" t="s">
        <v>4553</v>
      </c>
      <c r="D302" s="303" t="s">
        <v>256</v>
      </c>
      <c r="E302" s="303"/>
      <c r="F302" s="207" t="s">
        <v>5971</v>
      </c>
      <c r="G302" s="206" t="s">
        <v>2475</v>
      </c>
      <c r="H302" s="303" t="s">
        <v>2498</v>
      </c>
      <c r="I302" s="303" t="s">
        <v>2500</v>
      </c>
      <c r="J302" s="303" t="s">
        <v>2960</v>
      </c>
      <c r="K302" s="206" t="s">
        <v>3231</v>
      </c>
      <c r="L302" s="208" t="s">
        <v>2465</v>
      </c>
      <c r="M302" s="209" t="s">
        <v>4316</v>
      </c>
      <c r="N302" s="311" t="s">
        <v>2713</v>
      </c>
      <c r="O302" s="303"/>
      <c r="P302" s="303" t="s">
        <v>256</v>
      </c>
      <c r="Q302" s="303" t="s">
        <v>3078</v>
      </c>
      <c r="R302" s="303"/>
      <c r="S302" s="303"/>
      <c r="T302" s="303"/>
      <c r="U302" s="303"/>
      <c r="V302" s="303" t="s">
        <v>3078</v>
      </c>
      <c r="W302" s="303"/>
      <c r="X302" s="177" t="s">
        <v>2959</v>
      </c>
    </row>
    <row r="303" spans="1:24" ht="16.95" customHeight="1">
      <c r="A303" s="202" t="s">
        <v>2333</v>
      </c>
      <c r="B303" s="302">
        <v>4</v>
      </c>
      <c r="C303" s="302" t="s">
        <v>2967</v>
      </c>
      <c r="D303" s="302"/>
      <c r="E303" s="302" t="s">
        <v>256</v>
      </c>
      <c r="F303" s="203" t="s">
        <v>5971</v>
      </c>
      <c r="G303" s="202" t="s">
        <v>2461</v>
      </c>
      <c r="H303" s="302" t="s">
        <v>2498</v>
      </c>
      <c r="I303" s="302" t="s">
        <v>2500</v>
      </c>
      <c r="J303" s="302"/>
      <c r="K303" s="202"/>
      <c r="L303" s="204" t="s">
        <v>2964</v>
      </c>
      <c r="M303" s="205" t="s">
        <v>4317</v>
      </c>
      <c r="N303" s="310" t="s">
        <v>2725</v>
      </c>
      <c r="O303" s="302"/>
      <c r="P303" s="302"/>
      <c r="Q303" s="302" t="s">
        <v>256</v>
      </c>
      <c r="R303" s="302"/>
      <c r="S303" s="302" t="s">
        <v>3078</v>
      </c>
      <c r="T303" s="302" t="s">
        <v>256</v>
      </c>
      <c r="U303" s="302"/>
      <c r="V303" s="302"/>
      <c r="W303" s="302"/>
      <c r="X303" s="177" t="s">
        <v>2959</v>
      </c>
    </row>
    <row r="304" spans="1:24" ht="16.95" customHeight="1">
      <c r="A304" s="198" t="s">
        <v>5949</v>
      </c>
      <c r="B304" s="301">
        <v>4</v>
      </c>
      <c r="C304" s="301" t="s">
        <v>2425</v>
      </c>
      <c r="D304" s="301"/>
      <c r="E304" s="301" t="s">
        <v>256</v>
      </c>
      <c r="F304" s="199" t="s">
        <v>5971</v>
      </c>
      <c r="G304" s="198" t="s">
        <v>2463</v>
      </c>
      <c r="H304" s="301" t="s">
        <v>2498</v>
      </c>
      <c r="I304" s="301" t="s">
        <v>2500</v>
      </c>
      <c r="J304" s="301"/>
      <c r="K304" s="198"/>
      <c r="L304" s="200" t="s">
        <v>2964</v>
      </c>
      <c r="M304" s="201" t="s">
        <v>4318</v>
      </c>
      <c r="N304" s="309" t="s">
        <v>2698</v>
      </c>
      <c r="O304" s="301"/>
      <c r="P304" s="301"/>
      <c r="Q304" s="301" t="s">
        <v>256</v>
      </c>
      <c r="R304" s="301"/>
      <c r="S304" s="301"/>
      <c r="T304" s="301"/>
      <c r="U304" s="301" t="s">
        <v>256</v>
      </c>
      <c r="V304" s="301" t="s">
        <v>256</v>
      </c>
      <c r="W304" s="301" t="s">
        <v>256</v>
      </c>
      <c r="X304" s="177" t="s">
        <v>2963</v>
      </c>
    </row>
    <row r="305" spans="1:24" ht="16.95" customHeight="1">
      <c r="A305" s="182" t="s">
        <v>2387</v>
      </c>
      <c r="B305" s="297">
        <v>4</v>
      </c>
      <c r="C305" s="297" t="s">
        <v>2443</v>
      </c>
      <c r="D305" s="297"/>
      <c r="E305" s="297" t="s">
        <v>256</v>
      </c>
      <c r="F305" s="183" t="s">
        <v>5971</v>
      </c>
      <c r="G305" s="182" t="s">
        <v>2463</v>
      </c>
      <c r="H305" s="297" t="s">
        <v>2498</v>
      </c>
      <c r="I305" s="297" t="s">
        <v>2500</v>
      </c>
      <c r="J305" s="297" t="s">
        <v>2960</v>
      </c>
      <c r="K305" s="182" t="s">
        <v>3232</v>
      </c>
      <c r="L305" s="184" t="s">
        <v>2964</v>
      </c>
      <c r="M305" s="185" t="s">
        <v>4319</v>
      </c>
      <c r="N305" s="305" t="s">
        <v>3233</v>
      </c>
      <c r="O305" s="297"/>
      <c r="P305" s="297"/>
      <c r="Q305" s="297"/>
      <c r="R305" s="297"/>
      <c r="S305" s="297"/>
      <c r="T305" s="297"/>
      <c r="U305" s="297"/>
      <c r="V305" s="297" t="s">
        <v>256</v>
      </c>
      <c r="W305" s="297"/>
      <c r="X305" s="177" t="s">
        <v>2959</v>
      </c>
    </row>
    <row r="306" spans="1:24" ht="16.95" customHeight="1">
      <c r="A306" s="198" t="s">
        <v>2388</v>
      </c>
      <c r="B306" s="301">
        <v>4</v>
      </c>
      <c r="C306" s="301" t="s">
        <v>2425</v>
      </c>
      <c r="D306" s="301"/>
      <c r="E306" s="301"/>
      <c r="F306" s="199" t="s">
        <v>2428</v>
      </c>
      <c r="G306" s="198" t="s">
        <v>2435</v>
      </c>
      <c r="H306" s="301" t="s">
        <v>2498</v>
      </c>
      <c r="I306" s="301" t="s">
        <v>2500</v>
      </c>
      <c r="J306" s="301"/>
      <c r="K306" s="198"/>
      <c r="L306" s="200" t="s">
        <v>2465</v>
      </c>
      <c r="M306" s="201" t="s">
        <v>4320</v>
      </c>
      <c r="N306" s="309" t="s">
        <v>2716</v>
      </c>
      <c r="O306" s="301"/>
      <c r="P306" s="301"/>
      <c r="Q306" s="301"/>
      <c r="R306" s="301"/>
      <c r="S306" s="301"/>
      <c r="T306" s="301"/>
      <c r="U306" s="301"/>
      <c r="V306" s="301" t="s">
        <v>256</v>
      </c>
      <c r="W306" s="301" t="s">
        <v>256</v>
      </c>
      <c r="X306" s="177" t="s">
        <v>2959</v>
      </c>
    </row>
    <row r="307" spans="1:24" ht="16.95" customHeight="1">
      <c r="A307" s="182" t="s">
        <v>3234</v>
      </c>
      <c r="B307" s="297">
        <v>4</v>
      </c>
      <c r="C307" s="297" t="s">
        <v>2443</v>
      </c>
      <c r="D307" s="297"/>
      <c r="E307" s="297"/>
      <c r="F307" s="183" t="s">
        <v>2428</v>
      </c>
      <c r="G307" s="182" t="s">
        <v>2452</v>
      </c>
      <c r="H307" s="297" t="s">
        <v>2498</v>
      </c>
      <c r="I307" s="297" t="s">
        <v>2500</v>
      </c>
      <c r="J307" s="297"/>
      <c r="K307" s="182"/>
      <c r="L307" s="184" t="s">
        <v>2465</v>
      </c>
      <c r="M307" s="185" t="s">
        <v>4321</v>
      </c>
      <c r="N307" s="305" t="s">
        <v>2694</v>
      </c>
      <c r="O307" s="297"/>
      <c r="P307" s="297"/>
      <c r="Q307" s="297"/>
      <c r="R307" s="297" t="s">
        <v>256</v>
      </c>
      <c r="S307" s="297"/>
      <c r="T307" s="297"/>
      <c r="U307" s="297"/>
      <c r="V307" s="297"/>
      <c r="W307" s="297"/>
      <c r="X307" s="177" t="s">
        <v>2963</v>
      </c>
    </row>
    <row r="308" spans="1:24" ht="16.95" customHeight="1">
      <c r="A308" s="190" t="s">
        <v>2389</v>
      </c>
      <c r="B308" s="299">
        <v>4</v>
      </c>
      <c r="C308" s="299" t="s">
        <v>2429</v>
      </c>
      <c r="D308" s="299"/>
      <c r="E308" s="299"/>
      <c r="F308" s="191" t="s">
        <v>5971</v>
      </c>
      <c r="G308" s="190" t="s">
        <v>2475</v>
      </c>
      <c r="H308" s="299" t="s">
        <v>2498</v>
      </c>
      <c r="I308" s="299" t="s">
        <v>2500</v>
      </c>
      <c r="J308" s="299" t="s">
        <v>2960</v>
      </c>
      <c r="K308" s="190" t="s">
        <v>3235</v>
      </c>
      <c r="L308" s="192" t="s">
        <v>2428</v>
      </c>
      <c r="M308" s="193" t="s">
        <v>4322</v>
      </c>
      <c r="N308" s="307" t="s">
        <v>2717</v>
      </c>
      <c r="O308" s="299"/>
      <c r="P308" s="299"/>
      <c r="Q308" s="299" t="s">
        <v>3078</v>
      </c>
      <c r="R308" s="299"/>
      <c r="S308" s="299"/>
      <c r="T308" s="299" t="s">
        <v>3078</v>
      </c>
      <c r="U308" s="299"/>
      <c r="V308" s="299" t="s">
        <v>256</v>
      </c>
      <c r="W308" s="299"/>
      <c r="X308" s="177" t="s">
        <v>2959</v>
      </c>
    </row>
    <row r="309" spans="1:24" ht="16.95" customHeight="1">
      <c r="A309" s="186" t="s">
        <v>2168</v>
      </c>
      <c r="B309" s="298">
        <v>4</v>
      </c>
      <c r="C309" s="298" t="s">
        <v>2433</v>
      </c>
      <c r="D309" s="298"/>
      <c r="E309" s="298"/>
      <c r="F309" s="187" t="s">
        <v>5971</v>
      </c>
      <c r="G309" s="186" t="s">
        <v>2467</v>
      </c>
      <c r="H309" s="298" t="s">
        <v>2498</v>
      </c>
      <c r="I309" s="298" t="s">
        <v>2500</v>
      </c>
      <c r="J309" s="298" t="s">
        <v>2960</v>
      </c>
      <c r="K309" s="186" t="s">
        <v>3236</v>
      </c>
      <c r="L309" s="188" t="s">
        <v>2434</v>
      </c>
      <c r="M309" s="189" t="s">
        <v>4323</v>
      </c>
      <c r="N309" s="306" t="s">
        <v>2701</v>
      </c>
      <c r="O309" s="298" t="s">
        <v>256</v>
      </c>
      <c r="P309" s="298" t="s">
        <v>256</v>
      </c>
      <c r="Q309" s="298" t="s">
        <v>256</v>
      </c>
      <c r="R309" s="298"/>
      <c r="S309" s="298" t="s">
        <v>256</v>
      </c>
      <c r="T309" s="298"/>
      <c r="U309" s="298"/>
      <c r="V309" s="298"/>
      <c r="W309" s="298" t="s">
        <v>256</v>
      </c>
      <c r="X309" s="177" t="s">
        <v>2959</v>
      </c>
    </row>
    <row r="310" spans="1:24" ht="16.95" customHeight="1">
      <c r="A310" s="198" t="s">
        <v>2340</v>
      </c>
      <c r="B310" s="301">
        <v>4</v>
      </c>
      <c r="C310" s="301" t="s">
        <v>2425</v>
      </c>
      <c r="D310" s="301"/>
      <c r="E310" s="301" t="s">
        <v>256</v>
      </c>
      <c r="F310" s="199" t="s">
        <v>5971</v>
      </c>
      <c r="G310" s="198" t="s">
        <v>2452</v>
      </c>
      <c r="H310" s="301" t="s">
        <v>2498</v>
      </c>
      <c r="I310" s="301" t="s">
        <v>2500</v>
      </c>
      <c r="J310" s="301"/>
      <c r="K310" s="198"/>
      <c r="L310" s="200" t="s">
        <v>2998</v>
      </c>
      <c r="M310" s="201" t="s">
        <v>4324</v>
      </c>
      <c r="N310" s="309" t="s">
        <v>2727</v>
      </c>
      <c r="O310" s="301"/>
      <c r="P310" s="301"/>
      <c r="Q310" s="301" t="s">
        <v>256</v>
      </c>
      <c r="R310" s="301"/>
      <c r="S310" s="301"/>
      <c r="T310" s="301"/>
      <c r="U310" s="301"/>
      <c r="V310" s="301"/>
      <c r="W310" s="301"/>
      <c r="X310" s="177" t="s">
        <v>2959</v>
      </c>
    </row>
    <row r="311" spans="1:24" ht="16.95" customHeight="1">
      <c r="A311" s="182" t="s">
        <v>2187</v>
      </c>
      <c r="B311" s="297">
        <v>4</v>
      </c>
      <c r="C311" s="297" t="s">
        <v>2443</v>
      </c>
      <c r="D311" s="297"/>
      <c r="E311" s="297" t="s">
        <v>256</v>
      </c>
      <c r="F311" s="183" t="s">
        <v>6007</v>
      </c>
      <c r="G311" s="182" t="s">
        <v>2452</v>
      </c>
      <c r="H311" s="297" t="s">
        <v>2498</v>
      </c>
      <c r="I311" s="297" t="s">
        <v>2500</v>
      </c>
      <c r="J311" s="297"/>
      <c r="K311" s="182"/>
      <c r="L311" s="184" t="s">
        <v>2964</v>
      </c>
      <c r="M311" s="185" t="s">
        <v>4325</v>
      </c>
      <c r="N311" s="305" t="s">
        <v>2721</v>
      </c>
      <c r="O311" s="297"/>
      <c r="P311" s="297"/>
      <c r="Q311" s="297" t="s">
        <v>256</v>
      </c>
      <c r="R311" s="297"/>
      <c r="S311" s="297" t="s">
        <v>256</v>
      </c>
      <c r="T311" s="297"/>
      <c r="U311" s="297"/>
      <c r="V311" s="297"/>
      <c r="W311" s="297"/>
      <c r="X311" s="177" t="s">
        <v>2959</v>
      </c>
    </row>
    <row r="312" spans="1:24" ht="16.95" customHeight="1">
      <c r="A312" s="190" t="s">
        <v>3237</v>
      </c>
      <c r="B312" s="299">
        <v>4</v>
      </c>
      <c r="C312" s="299" t="s">
        <v>2429</v>
      </c>
      <c r="D312" s="299"/>
      <c r="E312" s="299"/>
      <c r="F312" s="191" t="s">
        <v>5971</v>
      </c>
      <c r="G312" s="190" t="s">
        <v>2435</v>
      </c>
      <c r="H312" s="299" t="s">
        <v>2498</v>
      </c>
      <c r="I312" s="299" t="s">
        <v>2500</v>
      </c>
      <c r="J312" s="299" t="s">
        <v>2960</v>
      </c>
      <c r="K312" s="190" t="s">
        <v>3238</v>
      </c>
      <c r="L312" s="192" t="s">
        <v>2465</v>
      </c>
      <c r="M312" s="193" t="s">
        <v>4326</v>
      </c>
      <c r="N312" s="307" t="s">
        <v>3239</v>
      </c>
      <c r="O312" s="299"/>
      <c r="P312" s="299"/>
      <c r="Q312" s="299"/>
      <c r="R312" s="299"/>
      <c r="S312" s="299"/>
      <c r="T312" s="299"/>
      <c r="U312" s="299"/>
      <c r="V312" s="299" t="s">
        <v>256</v>
      </c>
      <c r="W312" s="299"/>
      <c r="X312" s="177" t="s">
        <v>2979</v>
      </c>
    </row>
    <row r="313" spans="1:24" ht="16.95" customHeight="1">
      <c r="A313" s="210" t="s">
        <v>2256</v>
      </c>
      <c r="B313" s="304">
        <v>4</v>
      </c>
      <c r="C313" s="304" t="s">
        <v>2450</v>
      </c>
      <c r="D313" s="304"/>
      <c r="E313" s="304" t="s">
        <v>256</v>
      </c>
      <c r="F313" s="211" t="s">
        <v>5971</v>
      </c>
      <c r="G313" s="210" t="s">
        <v>2467</v>
      </c>
      <c r="H313" s="304" t="s">
        <v>2498</v>
      </c>
      <c r="I313" s="304" t="s">
        <v>2500</v>
      </c>
      <c r="J313" s="304"/>
      <c r="K313" s="210"/>
      <c r="L313" s="212" t="s">
        <v>2964</v>
      </c>
      <c r="M313" s="213" t="s">
        <v>4327</v>
      </c>
      <c r="N313" s="312" t="s">
        <v>2700</v>
      </c>
      <c r="O313" s="304" t="s">
        <v>256</v>
      </c>
      <c r="P313" s="304"/>
      <c r="Q313" s="304"/>
      <c r="R313" s="304"/>
      <c r="S313" s="304"/>
      <c r="T313" s="304" t="s">
        <v>256</v>
      </c>
      <c r="U313" s="304"/>
      <c r="V313" s="304" t="s">
        <v>256</v>
      </c>
      <c r="W313" s="304"/>
      <c r="X313" s="177" t="s">
        <v>2959</v>
      </c>
    </row>
    <row r="314" spans="1:24" ht="16.95" customHeight="1">
      <c r="A314" s="182" t="s">
        <v>2223</v>
      </c>
      <c r="B314" s="297">
        <v>4</v>
      </c>
      <c r="C314" s="297" t="s">
        <v>2443</v>
      </c>
      <c r="D314" s="297"/>
      <c r="E314" s="297"/>
      <c r="F314" s="183" t="s">
        <v>5971</v>
      </c>
      <c r="G314" s="182" t="s">
        <v>2452</v>
      </c>
      <c r="H314" s="297" t="s">
        <v>2498</v>
      </c>
      <c r="I314" s="297"/>
      <c r="J314" s="297"/>
      <c r="K314" s="182"/>
      <c r="L314" s="184" t="s">
        <v>2444</v>
      </c>
      <c r="M314" s="185" t="s">
        <v>4328</v>
      </c>
      <c r="N314" s="305" t="s">
        <v>2714</v>
      </c>
      <c r="O314" s="297"/>
      <c r="P314" s="297" t="s">
        <v>256</v>
      </c>
      <c r="Q314" s="297"/>
      <c r="R314" s="297"/>
      <c r="S314" s="297"/>
      <c r="T314" s="297"/>
      <c r="U314" s="297"/>
      <c r="V314" s="297"/>
      <c r="W314" s="297"/>
      <c r="X314" s="177" t="s">
        <v>2959</v>
      </c>
    </row>
    <row r="315" spans="1:24" ht="16.95" customHeight="1">
      <c r="A315" s="198" t="s">
        <v>2176</v>
      </c>
      <c r="B315" s="301">
        <v>4</v>
      </c>
      <c r="C315" s="301" t="s">
        <v>2425</v>
      </c>
      <c r="D315" s="301"/>
      <c r="E315" s="301" t="s">
        <v>256</v>
      </c>
      <c r="F315" s="199" t="s">
        <v>6007</v>
      </c>
      <c r="G315" s="198" t="s">
        <v>2475</v>
      </c>
      <c r="H315" s="301" t="s">
        <v>2498</v>
      </c>
      <c r="I315" s="301"/>
      <c r="J315" s="301"/>
      <c r="K315" s="198"/>
      <c r="L315" s="200" t="s">
        <v>2964</v>
      </c>
      <c r="M315" s="201" t="s">
        <v>4329</v>
      </c>
      <c r="N315" s="309" t="s">
        <v>2696</v>
      </c>
      <c r="O315" s="301"/>
      <c r="P315" s="301"/>
      <c r="Q315" s="301" t="s">
        <v>256</v>
      </c>
      <c r="R315" s="301"/>
      <c r="S315" s="301" t="s">
        <v>256</v>
      </c>
      <c r="T315" s="301"/>
      <c r="U315" s="301"/>
      <c r="V315" s="301"/>
      <c r="W315" s="301"/>
      <c r="X315" s="177" t="s">
        <v>2963</v>
      </c>
    </row>
    <row r="316" spans="1:24" ht="16.95" customHeight="1">
      <c r="A316" s="210" t="s">
        <v>2225</v>
      </c>
      <c r="B316" s="304">
        <v>4</v>
      </c>
      <c r="C316" s="304" t="s">
        <v>2450</v>
      </c>
      <c r="D316" s="304"/>
      <c r="E316" s="304"/>
      <c r="F316" s="211" t="s">
        <v>2428</v>
      </c>
      <c r="G316" s="210" t="s">
        <v>2449</v>
      </c>
      <c r="H316" s="304" t="s">
        <v>2498</v>
      </c>
      <c r="I316" s="304" t="s">
        <v>2500</v>
      </c>
      <c r="J316" s="304" t="s">
        <v>2960</v>
      </c>
      <c r="K316" s="210" t="s">
        <v>3240</v>
      </c>
      <c r="L316" s="212" t="s">
        <v>2448</v>
      </c>
      <c r="M316" s="213" t="s">
        <v>4330</v>
      </c>
      <c r="N316" s="312" t="s">
        <v>2703</v>
      </c>
      <c r="O316" s="304" t="s">
        <v>256</v>
      </c>
      <c r="P316" s="304"/>
      <c r="Q316" s="304" t="s">
        <v>256</v>
      </c>
      <c r="R316" s="304"/>
      <c r="S316" s="304"/>
      <c r="T316" s="304"/>
      <c r="U316" s="304" t="s">
        <v>256</v>
      </c>
      <c r="V316" s="304" t="s">
        <v>256</v>
      </c>
      <c r="W316" s="304"/>
      <c r="X316" s="177" t="s">
        <v>2959</v>
      </c>
    </row>
    <row r="317" spans="1:24" ht="16.95" customHeight="1">
      <c r="A317" s="190" t="s">
        <v>2327</v>
      </c>
      <c r="B317" s="299">
        <v>4</v>
      </c>
      <c r="C317" s="299" t="s">
        <v>2429</v>
      </c>
      <c r="D317" s="299"/>
      <c r="E317" s="299"/>
      <c r="F317" s="191" t="s">
        <v>5971</v>
      </c>
      <c r="G317" s="190" t="s">
        <v>2449</v>
      </c>
      <c r="H317" s="299" t="s">
        <v>2498</v>
      </c>
      <c r="I317" s="299" t="s">
        <v>2500</v>
      </c>
      <c r="J317" s="299" t="s">
        <v>2960</v>
      </c>
      <c r="K317" s="190" t="s">
        <v>3241</v>
      </c>
      <c r="L317" s="192" t="s">
        <v>2465</v>
      </c>
      <c r="M317" s="193" t="s">
        <v>4331</v>
      </c>
      <c r="N317" s="307" t="s">
        <v>2723</v>
      </c>
      <c r="O317" s="299"/>
      <c r="P317" s="299"/>
      <c r="Q317" s="299" t="s">
        <v>256</v>
      </c>
      <c r="R317" s="299"/>
      <c r="S317" s="299"/>
      <c r="T317" s="299" t="s">
        <v>256</v>
      </c>
      <c r="U317" s="299"/>
      <c r="V317" s="299" t="s">
        <v>256</v>
      </c>
      <c r="W317" s="299"/>
      <c r="X317" s="177" t="s">
        <v>2959</v>
      </c>
    </row>
    <row r="318" spans="1:24" ht="16.95" customHeight="1">
      <c r="A318" s="182" t="s">
        <v>2390</v>
      </c>
      <c r="B318" s="297">
        <v>4</v>
      </c>
      <c r="C318" s="297" t="s">
        <v>2443</v>
      </c>
      <c r="D318" s="297"/>
      <c r="E318" s="297"/>
      <c r="F318" s="183" t="s">
        <v>5971</v>
      </c>
      <c r="G318" s="182" t="s">
        <v>2467</v>
      </c>
      <c r="H318" s="297" t="s">
        <v>2498</v>
      </c>
      <c r="I318" s="297" t="s">
        <v>2500</v>
      </c>
      <c r="J318" s="297" t="s">
        <v>2960</v>
      </c>
      <c r="K318" s="182" t="s">
        <v>4543</v>
      </c>
      <c r="L318" s="184" t="s">
        <v>2465</v>
      </c>
      <c r="M318" s="185" t="s">
        <v>4544</v>
      </c>
      <c r="N318" s="305" t="s">
        <v>3242</v>
      </c>
      <c r="O318" s="297"/>
      <c r="P318" s="297"/>
      <c r="Q318" s="297"/>
      <c r="R318" s="297"/>
      <c r="S318" s="297"/>
      <c r="T318" s="297"/>
      <c r="U318" s="297"/>
      <c r="V318" s="297" t="s">
        <v>256</v>
      </c>
      <c r="W318" s="297" t="s">
        <v>256</v>
      </c>
      <c r="X318" s="177" t="s">
        <v>2959</v>
      </c>
    </row>
    <row r="319" spans="1:24" ht="16.95" customHeight="1">
      <c r="A319" s="206" t="s">
        <v>2115</v>
      </c>
      <c r="B319" s="303">
        <v>4</v>
      </c>
      <c r="C319" s="303" t="s">
        <v>2440</v>
      </c>
      <c r="D319" s="303"/>
      <c r="E319" s="303" t="s">
        <v>256</v>
      </c>
      <c r="F319" s="207" t="s">
        <v>5971</v>
      </c>
      <c r="G319" s="206" t="s">
        <v>2475</v>
      </c>
      <c r="H319" s="303" t="s">
        <v>2498</v>
      </c>
      <c r="I319" s="303" t="s">
        <v>2500</v>
      </c>
      <c r="J319" s="303" t="s">
        <v>2960</v>
      </c>
      <c r="K319" s="206" t="s">
        <v>3088</v>
      </c>
      <c r="L319" s="208" t="s">
        <v>3013</v>
      </c>
      <c r="M319" s="209" t="s">
        <v>4332</v>
      </c>
      <c r="N319" s="311" t="s">
        <v>2702</v>
      </c>
      <c r="O319" s="303" t="s">
        <v>256</v>
      </c>
      <c r="P319" s="303" t="s">
        <v>256</v>
      </c>
      <c r="Q319" s="303" t="s">
        <v>256</v>
      </c>
      <c r="R319" s="303" t="s">
        <v>256</v>
      </c>
      <c r="S319" s="303" t="s">
        <v>256</v>
      </c>
      <c r="T319" s="303"/>
      <c r="U319" s="303"/>
      <c r="V319" s="303" t="s">
        <v>256</v>
      </c>
      <c r="W319" s="303"/>
      <c r="X319" s="177" t="s">
        <v>2959</v>
      </c>
    </row>
    <row r="320" spans="1:24" ht="16.95" customHeight="1">
      <c r="A320" s="182" t="s">
        <v>3243</v>
      </c>
      <c r="B320" s="297">
        <v>4</v>
      </c>
      <c r="C320" s="297" t="s">
        <v>2443</v>
      </c>
      <c r="D320" s="297"/>
      <c r="E320" s="297"/>
      <c r="F320" s="183" t="s">
        <v>5971</v>
      </c>
      <c r="G320" s="182" t="s">
        <v>2452</v>
      </c>
      <c r="H320" s="297" t="s">
        <v>2498</v>
      </c>
      <c r="I320" s="297" t="s">
        <v>2500</v>
      </c>
      <c r="J320" s="297" t="s">
        <v>2960</v>
      </c>
      <c r="K320" s="182" t="s">
        <v>3244</v>
      </c>
      <c r="L320" s="184" t="s">
        <v>2444</v>
      </c>
      <c r="M320" s="185" t="s">
        <v>4333</v>
      </c>
      <c r="N320" s="305" t="s">
        <v>3245</v>
      </c>
      <c r="O320" s="297"/>
      <c r="P320" s="297"/>
      <c r="Q320" s="297"/>
      <c r="R320" s="297"/>
      <c r="S320" s="297"/>
      <c r="T320" s="297"/>
      <c r="U320" s="297"/>
      <c r="V320" s="297" t="s">
        <v>256</v>
      </c>
      <c r="W320" s="297" t="s">
        <v>256</v>
      </c>
      <c r="X320" s="177" t="s">
        <v>2959</v>
      </c>
    </row>
    <row r="321" spans="1:24" ht="16.95" customHeight="1">
      <c r="A321" s="186" t="s">
        <v>3246</v>
      </c>
      <c r="B321" s="298">
        <v>4</v>
      </c>
      <c r="C321" s="298" t="s">
        <v>2433</v>
      </c>
      <c r="D321" s="298"/>
      <c r="E321" s="298"/>
      <c r="F321" s="187" t="s">
        <v>2428</v>
      </c>
      <c r="G321" s="186" t="s">
        <v>2435</v>
      </c>
      <c r="H321" s="298" t="s">
        <v>2498</v>
      </c>
      <c r="I321" s="298" t="s">
        <v>2500</v>
      </c>
      <c r="J321" s="298" t="s">
        <v>2960</v>
      </c>
      <c r="K321" s="186" t="s">
        <v>3247</v>
      </c>
      <c r="L321" s="188" t="s">
        <v>2448</v>
      </c>
      <c r="M321" s="189" t="s">
        <v>4334</v>
      </c>
      <c r="N321" s="306" t="s">
        <v>3248</v>
      </c>
      <c r="O321" s="298"/>
      <c r="P321" s="298"/>
      <c r="Q321" s="298"/>
      <c r="R321" s="298"/>
      <c r="S321" s="298"/>
      <c r="T321" s="298"/>
      <c r="U321" s="298"/>
      <c r="V321" s="298" t="s">
        <v>256</v>
      </c>
      <c r="W321" s="298" t="s">
        <v>256</v>
      </c>
      <c r="X321" s="177" t="s">
        <v>2959</v>
      </c>
    </row>
    <row r="322" spans="1:24" ht="16.95" customHeight="1">
      <c r="A322" s="190" t="s">
        <v>2391</v>
      </c>
      <c r="B322" s="299">
        <v>4</v>
      </c>
      <c r="C322" s="299" t="s">
        <v>2429</v>
      </c>
      <c r="D322" s="299"/>
      <c r="E322" s="299" t="s">
        <v>256</v>
      </c>
      <c r="F322" s="191" t="s">
        <v>5971</v>
      </c>
      <c r="G322" s="190" t="s">
        <v>2452</v>
      </c>
      <c r="H322" s="299" t="s">
        <v>2498</v>
      </c>
      <c r="I322" s="299" t="s">
        <v>2500</v>
      </c>
      <c r="J322" s="299" t="s">
        <v>2960</v>
      </c>
      <c r="K322" s="190" t="s">
        <v>3249</v>
      </c>
      <c r="L322" s="192" t="s">
        <v>2964</v>
      </c>
      <c r="M322" s="193" t="s">
        <v>4335</v>
      </c>
      <c r="N322" s="307" t="s">
        <v>3250</v>
      </c>
      <c r="O322" s="299"/>
      <c r="P322" s="299"/>
      <c r="Q322" s="299"/>
      <c r="R322" s="299"/>
      <c r="S322" s="299"/>
      <c r="T322" s="299"/>
      <c r="U322" s="299"/>
      <c r="V322" s="299" t="s">
        <v>256</v>
      </c>
      <c r="W322" s="299" t="s">
        <v>256</v>
      </c>
      <c r="X322" s="177" t="s">
        <v>2959</v>
      </c>
    </row>
    <row r="323" spans="1:24" ht="16.95" customHeight="1">
      <c r="A323" s="210" t="s">
        <v>2393</v>
      </c>
      <c r="B323" s="304">
        <v>4</v>
      </c>
      <c r="C323" s="304" t="s">
        <v>2450</v>
      </c>
      <c r="D323" s="304"/>
      <c r="E323" s="304" t="s">
        <v>4531</v>
      </c>
      <c r="F323" s="211" t="s">
        <v>5971</v>
      </c>
      <c r="G323" s="210" t="s">
        <v>2435</v>
      </c>
      <c r="H323" s="304" t="s">
        <v>2498</v>
      </c>
      <c r="I323" s="304" t="s">
        <v>2500</v>
      </c>
      <c r="J323" s="304"/>
      <c r="K323" s="210"/>
      <c r="L323" s="212" t="s">
        <v>2964</v>
      </c>
      <c r="M323" s="213" t="s">
        <v>4336</v>
      </c>
      <c r="N323" s="312" t="s">
        <v>2718</v>
      </c>
      <c r="O323" s="304" t="s">
        <v>3078</v>
      </c>
      <c r="P323" s="304"/>
      <c r="Q323" s="304"/>
      <c r="R323" s="304"/>
      <c r="S323" s="304"/>
      <c r="T323" s="304"/>
      <c r="U323" s="304"/>
      <c r="V323" s="304" t="s">
        <v>256</v>
      </c>
      <c r="W323" s="304"/>
      <c r="X323" s="177" t="s">
        <v>2959</v>
      </c>
    </row>
    <row r="324" spans="1:24" ht="16.95" customHeight="1">
      <c r="A324" s="198" t="s">
        <v>2269</v>
      </c>
      <c r="B324" s="301">
        <v>4</v>
      </c>
      <c r="C324" s="301" t="s">
        <v>2425</v>
      </c>
      <c r="D324" s="301"/>
      <c r="E324" s="301" t="s">
        <v>256</v>
      </c>
      <c r="F324" s="199" t="s">
        <v>5971</v>
      </c>
      <c r="G324" s="198" t="s">
        <v>2461</v>
      </c>
      <c r="H324" s="301" t="s">
        <v>2498</v>
      </c>
      <c r="I324" s="301" t="s">
        <v>2500</v>
      </c>
      <c r="J324" s="301" t="s">
        <v>2960</v>
      </c>
      <c r="K324" s="198" t="s">
        <v>3251</v>
      </c>
      <c r="L324" s="200" t="s">
        <v>3013</v>
      </c>
      <c r="M324" s="201" t="s">
        <v>4337</v>
      </c>
      <c r="N324" s="309" t="s">
        <v>2705</v>
      </c>
      <c r="O324" s="301" t="s">
        <v>256</v>
      </c>
      <c r="P324" s="301"/>
      <c r="Q324" s="301" t="s">
        <v>256</v>
      </c>
      <c r="R324" s="301"/>
      <c r="S324" s="301"/>
      <c r="T324" s="301" t="s">
        <v>256</v>
      </c>
      <c r="U324" s="301"/>
      <c r="V324" s="301" t="s">
        <v>256</v>
      </c>
      <c r="W324" s="301"/>
      <c r="X324" s="177" t="s">
        <v>2959</v>
      </c>
    </row>
    <row r="325" spans="1:24" ht="16.95" customHeight="1">
      <c r="A325" s="194" t="s">
        <v>2212</v>
      </c>
      <c r="B325" s="300">
        <v>4</v>
      </c>
      <c r="C325" s="300" t="s">
        <v>2437</v>
      </c>
      <c r="D325" s="300"/>
      <c r="E325" s="300" t="s">
        <v>256</v>
      </c>
      <c r="F325" s="195" t="s">
        <v>5971</v>
      </c>
      <c r="G325" s="194" t="s">
        <v>2475</v>
      </c>
      <c r="H325" s="300" t="s">
        <v>2498</v>
      </c>
      <c r="I325" s="300" t="s">
        <v>2500</v>
      </c>
      <c r="J325" s="300" t="s">
        <v>2960</v>
      </c>
      <c r="K325" s="194" t="s">
        <v>3252</v>
      </c>
      <c r="L325" s="196" t="s">
        <v>2964</v>
      </c>
      <c r="M325" s="197" t="s">
        <v>4338</v>
      </c>
      <c r="N325" s="308" t="s">
        <v>2689</v>
      </c>
      <c r="O325" s="300"/>
      <c r="P325" s="300"/>
      <c r="Q325" s="300"/>
      <c r="R325" s="300"/>
      <c r="S325" s="300"/>
      <c r="T325" s="300"/>
      <c r="U325" s="300" t="s">
        <v>256</v>
      </c>
      <c r="V325" s="300"/>
      <c r="W325" s="300"/>
      <c r="X325" s="177" t="s">
        <v>2963</v>
      </c>
    </row>
    <row r="326" spans="1:24" ht="16.95" customHeight="1">
      <c r="A326" s="190" t="s">
        <v>2216</v>
      </c>
      <c r="B326" s="299">
        <v>4</v>
      </c>
      <c r="C326" s="299" t="s">
        <v>2429</v>
      </c>
      <c r="D326" s="299"/>
      <c r="E326" s="299" t="s">
        <v>256</v>
      </c>
      <c r="F326" s="191" t="s">
        <v>5971</v>
      </c>
      <c r="G326" s="190" t="s">
        <v>2435</v>
      </c>
      <c r="H326" s="299" t="s">
        <v>2498</v>
      </c>
      <c r="I326" s="299" t="s">
        <v>2500</v>
      </c>
      <c r="J326" s="299"/>
      <c r="K326" s="190"/>
      <c r="L326" s="192" t="s">
        <v>2998</v>
      </c>
      <c r="M326" s="193" t="s">
        <v>4339</v>
      </c>
      <c r="N326" s="307" t="s">
        <v>2690</v>
      </c>
      <c r="O326" s="299"/>
      <c r="P326" s="299"/>
      <c r="Q326" s="299"/>
      <c r="R326" s="299"/>
      <c r="S326" s="299"/>
      <c r="T326" s="299" t="s">
        <v>256</v>
      </c>
      <c r="U326" s="299" t="s">
        <v>256</v>
      </c>
      <c r="V326" s="299" t="s">
        <v>256</v>
      </c>
      <c r="W326" s="299"/>
      <c r="X326" s="177" t="s">
        <v>2963</v>
      </c>
    </row>
    <row r="327" spans="1:24" ht="16.95" customHeight="1">
      <c r="A327" s="190" t="s">
        <v>2132</v>
      </c>
      <c r="B327" s="299">
        <v>4</v>
      </c>
      <c r="C327" s="299" t="s">
        <v>2429</v>
      </c>
      <c r="D327" s="299"/>
      <c r="E327" s="299" t="s">
        <v>256</v>
      </c>
      <c r="F327" s="191" t="s">
        <v>6007</v>
      </c>
      <c r="G327" s="190" t="s">
        <v>2475</v>
      </c>
      <c r="H327" s="299" t="s">
        <v>2498</v>
      </c>
      <c r="I327" s="299"/>
      <c r="J327" s="299"/>
      <c r="K327" s="190"/>
      <c r="L327" s="192" t="s">
        <v>2964</v>
      </c>
      <c r="M327" s="193" t="s">
        <v>4340</v>
      </c>
      <c r="N327" s="307" t="s">
        <v>2708</v>
      </c>
      <c r="O327" s="299"/>
      <c r="P327" s="299"/>
      <c r="Q327" s="299"/>
      <c r="R327" s="299" t="s">
        <v>256</v>
      </c>
      <c r="S327" s="299"/>
      <c r="T327" s="299"/>
      <c r="U327" s="299"/>
      <c r="V327" s="299"/>
      <c r="W327" s="299"/>
      <c r="X327" s="177" t="s">
        <v>2959</v>
      </c>
    </row>
    <row r="328" spans="1:24" ht="16.95" customHeight="1">
      <c r="A328" s="198" t="s">
        <v>2217</v>
      </c>
      <c r="B328" s="301">
        <v>4</v>
      </c>
      <c r="C328" s="301" t="s">
        <v>2425</v>
      </c>
      <c r="D328" s="301"/>
      <c r="E328" s="301"/>
      <c r="F328" s="199" t="s">
        <v>5971</v>
      </c>
      <c r="G328" s="198" t="s">
        <v>2467</v>
      </c>
      <c r="H328" s="301" t="s">
        <v>2498</v>
      </c>
      <c r="I328" s="301" t="s">
        <v>2500</v>
      </c>
      <c r="J328" s="301" t="s">
        <v>2960</v>
      </c>
      <c r="K328" s="198" t="s">
        <v>3253</v>
      </c>
      <c r="L328" s="200" t="s">
        <v>2465</v>
      </c>
      <c r="M328" s="201" t="s">
        <v>4341</v>
      </c>
      <c r="N328" s="309" t="s">
        <v>2712</v>
      </c>
      <c r="O328" s="301"/>
      <c r="P328" s="301" t="s">
        <v>256</v>
      </c>
      <c r="Q328" s="301" t="s">
        <v>256</v>
      </c>
      <c r="R328" s="301"/>
      <c r="S328" s="301"/>
      <c r="T328" s="301"/>
      <c r="U328" s="301"/>
      <c r="V328" s="301" t="s">
        <v>256</v>
      </c>
      <c r="W328" s="301" t="s">
        <v>256</v>
      </c>
      <c r="X328" s="177" t="s">
        <v>2959</v>
      </c>
    </row>
    <row r="329" spans="1:24" ht="16.95" customHeight="1">
      <c r="A329" s="186" t="s">
        <v>2182</v>
      </c>
      <c r="B329" s="298">
        <v>4</v>
      </c>
      <c r="C329" s="298" t="s">
        <v>2433</v>
      </c>
      <c r="D329" s="298"/>
      <c r="E329" s="298" t="s">
        <v>256</v>
      </c>
      <c r="F329" s="187" t="s">
        <v>5971</v>
      </c>
      <c r="G329" s="186" t="s">
        <v>2467</v>
      </c>
      <c r="H329" s="298" t="s">
        <v>2498</v>
      </c>
      <c r="I329" s="298" t="s">
        <v>2500</v>
      </c>
      <c r="J329" s="298" t="s">
        <v>2960</v>
      </c>
      <c r="K329" s="186" t="s">
        <v>3254</v>
      </c>
      <c r="L329" s="188" t="s">
        <v>3013</v>
      </c>
      <c r="M329" s="189" t="s">
        <v>4342</v>
      </c>
      <c r="N329" s="306" t="s">
        <v>2719</v>
      </c>
      <c r="O329" s="298"/>
      <c r="P329" s="298"/>
      <c r="Q329" s="298" t="s">
        <v>256</v>
      </c>
      <c r="R329" s="298"/>
      <c r="S329" s="298" t="s">
        <v>256</v>
      </c>
      <c r="T329" s="298" t="s">
        <v>256</v>
      </c>
      <c r="U329" s="298"/>
      <c r="V329" s="298" t="s">
        <v>256</v>
      </c>
      <c r="W329" s="298" t="s">
        <v>256</v>
      </c>
      <c r="X329" s="177" t="s">
        <v>2959</v>
      </c>
    </row>
    <row r="330" spans="1:24" ht="16.95" customHeight="1">
      <c r="A330" s="190" t="s">
        <v>2358</v>
      </c>
      <c r="B330" s="299">
        <v>4</v>
      </c>
      <c r="C330" s="299" t="s">
        <v>2429</v>
      </c>
      <c r="D330" s="299"/>
      <c r="E330" s="299" t="s">
        <v>256</v>
      </c>
      <c r="F330" s="191" t="s">
        <v>5971</v>
      </c>
      <c r="G330" s="190" t="s">
        <v>2439</v>
      </c>
      <c r="H330" s="299" t="s">
        <v>2498</v>
      </c>
      <c r="I330" s="299" t="s">
        <v>2500</v>
      </c>
      <c r="J330" s="299"/>
      <c r="K330" s="190"/>
      <c r="L330" s="192" t="s">
        <v>2964</v>
      </c>
      <c r="M330" s="193" t="s">
        <v>4343</v>
      </c>
      <c r="N330" s="307" t="s">
        <v>2691</v>
      </c>
      <c r="O330" s="299"/>
      <c r="P330" s="299"/>
      <c r="Q330" s="299"/>
      <c r="R330" s="299"/>
      <c r="S330" s="299"/>
      <c r="T330" s="299" t="s">
        <v>256</v>
      </c>
      <c r="U330" s="299"/>
      <c r="V330" s="299" t="s">
        <v>256</v>
      </c>
      <c r="W330" s="299"/>
      <c r="X330" s="177" t="s">
        <v>2963</v>
      </c>
    </row>
    <row r="331" spans="1:24" ht="16.95" customHeight="1">
      <c r="A331" s="182" t="s">
        <v>4726</v>
      </c>
      <c r="B331" s="297">
        <v>4</v>
      </c>
      <c r="C331" s="297" t="s">
        <v>2443</v>
      </c>
      <c r="D331" s="297"/>
      <c r="E331" s="297" t="s">
        <v>256</v>
      </c>
      <c r="F331" s="183" t="s">
        <v>5971</v>
      </c>
      <c r="G331" s="182" t="s">
        <v>2463</v>
      </c>
      <c r="H331" s="297" t="s">
        <v>2498</v>
      </c>
      <c r="I331" s="297" t="s">
        <v>2500</v>
      </c>
      <c r="J331" s="297" t="s">
        <v>2960</v>
      </c>
      <c r="K331" s="182" t="s">
        <v>3255</v>
      </c>
      <c r="L331" s="184" t="s">
        <v>3013</v>
      </c>
      <c r="M331" s="185" t="s">
        <v>4344</v>
      </c>
      <c r="N331" s="305" t="s">
        <v>2934</v>
      </c>
      <c r="O331" s="297"/>
      <c r="P331" s="297"/>
      <c r="Q331" s="297"/>
      <c r="R331" s="297"/>
      <c r="S331" s="297"/>
      <c r="T331" s="297"/>
      <c r="U331" s="297" t="s">
        <v>256</v>
      </c>
      <c r="V331" s="297" t="s">
        <v>256</v>
      </c>
      <c r="W331" s="297"/>
      <c r="X331" s="177" t="s">
        <v>2974</v>
      </c>
    </row>
    <row r="332" spans="1:24" ht="16.95" customHeight="1">
      <c r="A332" s="182" t="s">
        <v>4727</v>
      </c>
      <c r="B332" s="297">
        <v>4</v>
      </c>
      <c r="C332" s="297" t="s">
        <v>2443</v>
      </c>
      <c r="D332" s="297"/>
      <c r="E332" s="297" t="s">
        <v>256</v>
      </c>
      <c r="F332" s="183" t="s">
        <v>5971</v>
      </c>
      <c r="G332" s="182" t="s">
        <v>2463</v>
      </c>
      <c r="H332" s="297" t="s">
        <v>2498</v>
      </c>
      <c r="I332" s="297" t="s">
        <v>2500</v>
      </c>
      <c r="J332" s="297" t="s">
        <v>2960</v>
      </c>
      <c r="K332" s="182" t="s">
        <v>3256</v>
      </c>
      <c r="L332" s="184" t="s">
        <v>3013</v>
      </c>
      <c r="M332" s="185" t="s">
        <v>4345</v>
      </c>
      <c r="N332" s="305" t="s">
        <v>2935</v>
      </c>
      <c r="O332" s="297"/>
      <c r="P332" s="297"/>
      <c r="Q332" s="297"/>
      <c r="R332" s="297"/>
      <c r="S332" s="297"/>
      <c r="T332" s="297"/>
      <c r="U332" s="297"/>
      <c r="V332" s="297" t="s">
        <v>256</v>
      </c>
      <c r="W332" s="297" t="s">
        <v>256</v>
      </c>
      <c r="X332" s="177" t="s">
        <v>2974</v>
      </c>
    </row>
    <row r="333" spans="1:24" ht="16.95" customHeight="1">
      <c r="A333" s="182" t="s">
        <v>2230</v>
      </c>
      <c r="B333" s="297">
        <v>4</v>
      </c>
      <c r="C333" s="297" t="s">
        <v>2443</v>
      </c>
      <c r="D333" s="297"/>
      <c r="E333" s="297" t="s">
        <v>256</v>
      </c>
      <c r="F333" s="183" t="s">
        <v>5971</v>
      </c>
      <c r="G333" s="182" t="s">
        <v>2461</v>
      </c>
      <c r="H333" s="297" t="s">
        <v>2498</v>
      </c>
      <c r="I333" s="297" t="s">
        <v>2500</v>
      </c>
      <c r="J333" s="297" t="s">
        <v>2960</v>
      </c>
      <c r="K333" s="182" t="s">
        <v>3196</v>
      </c>
      <c r="L333" s="184" t="s">
        <v>3013</v>
      </c>
      <c r="M333" s="185" t="s">
        <v>4346</v>
      </c>
      <c r="N333" s="305" t="s">
        <v>2695</v>
      </c>
      <c r="O333" s="297"/>
      <c r="P333" s="297"/>
      <c r="Q333" s="297"/>
      <c r="R333" s="297"/>
      <c r="S333" s="297"/>
      <c r="T333" s="297"/>
      <c r="U333" s="297" t="s">
        <v>256</v>
      </c>
      <c r="V333" s="297" t="s">
        <v>256</v>
      </c>
      <c r="W333" s="297"/>
      <c r="X333" s="177" t="s">
        <v>2963</v>
      </c>
    </row>
    <row r="334" spans="1:24" ht="16.95" customHeight="1">
      <c r="A334" s="190" t="s">
        <v>2361</v>
      </c>
      <c r="B334" s="299">
        <v>4</v>
      </c>
      <c r="C334" s="299" t="s">
        <v>2429</v>
      </c>
      <c r="D334" s="299"/>
      <c r="E334" s="299"/>
      <c r="F334" s="191" t="s">
        <v>5971</v>
      </c>
      <c r="G334" s="190" t="s">
        <v>2439</v>
      </c>
      <c r="H334" s="299" t="s">
        <v>2498</v>
      </c>
      <c r="I334" s="299" t="s">
        <v>2500</v>
      </c>
      <c r="J334" s="299" t="s">
        <v>2960</v>
      </c>
      <c r="K334" s="190" t="s">
        <v>3257</v>
      </c>
      <c r="L334" s="192" t="s">
        <v>2465</v>
      </c>
      <c r="M334" s="193" t="s">
        <v>4347</v>
      </c>
      <c r="N334" s="307" t="s">
        <v>2692</v>
      </c>
      <c r="O334" s="299"/>
      <c r="P334" s="299"/>
      <c r="Q334" s="299"/>
      <c r="R334" s="299"/>
      <c r="S334" s="299"/>
      <c r="T334" s="299" t="s">
        <v>256</v>
      </c>
      <c r="U334" s="299"/>
      <c r="V334" s="299" t="s">
        <v>256</v>
      </c>
      <c r="W334" s="299"/>
      <c r="X334" s="177" t="s">
        <v>2963</v>
      </c>
    </row>
    <row r="335" spans="1:24" ht="16.95" customHeight="1">
      <c r="A335" s="190" t="s">
        <v>2330</v>
      </c>
      <c r="B335" s="299">
        <v>4</v>
      </c>
      <c r="C335" s="299" t="s">
        <v>2429</v>
      </c>
      <c r="D335" s="299"/>
      <c r="E335" s="299" t="s">
        <v>256</v>
      </c>
      <c r="F335" s="191" t="s">
        <v>5971</v>
      </c>
      <c r="G335" s="190" t="s">
        <v>2435</v>
      </c>
      <c r="H335" s="299" t="s">
        <v>2498</v>
      </c>
      <c r="I335" s="299" t="s">
        <v>2500</v>
      </c>
      <c r="J335" s="299" t="s">
        <v>2960</v>
      </c>
      <c r="K335" s="190" t="s">
        <v>3258</v>
      </c>
      <c r="L335" s="192" t="s">
        <v>2964</v>
      </c>
      <c r="M335" s="193" t="s">
        <v>4348</v>
      </c>
      <c r="N335" s="307" t="s">
        <v>2724</v>
      </c>
      <c r="O335" s="299"/>
      <c r="P335" s="299"/>
      <c r="Q335" s="299" t="s">
        <v>256</v>
      </c>
      <c r="R335" s="299"/>
      <c r="S335" s="299"/>
      <c r="T335" s="299" t="s">
        <v>256</v>
      </c>
      <c r="U335" s="299"/>
      <c r="V335" s="299" t="s">
        <v>256</v>
      </c>
      <c r="W335" s="299"/>
      <c r="X335" s="177" t="s">
        <v>2959</v>
      </c>
    </row>
    <row r="336" spans="1:24" ht="16.95" customHeight="1">
      <c r="A336" s="182" t="s">
        <v>2308</v>
      </c>
      <c r="B336" s="297">
        <v>4</v>
      </c>
      <c r="C336" s="297" t="s">
        <v>2443</v>
      </c>
      <c r="D336" s="297"/>
      <c r="E336" s="297" t="s">
        <v>256</v>
      </c>
      <c r="F336" s="183" t="s">
        <v>5971</v>
      </c>
      <c r="G336" s="182" t="s">
        <v>2463</v>
      </c>
      <c r="H336" s="297" t="s">
        <v>2498</v>
      </c>
      <c r="I336" s="297" t="s">
        <v>2500</v>
      </c>
      <c r="J336" s="297" t="s">
        <v>2960</v>
      </c>
      <c r="K336" s="182" t="s">
        <v>3199</v>
      </c>
      <c r="L336" s="184" t="s">
        <v>2964</v>
      </c>
      <c r="M336" s="185" t="s">
        <v>4349</v>
      </c>
      <c r="N336" s="305" t="s">
        <v>2697</v>
      </c>
      <c r="O336" s="297"/>
      <c r="P336" s="297"/>
      <c r="Q336" s="297" t="s">
        <v>256</v>
      </c>
      <c r="R336" s="297"/>
      <c r="S336" s="297"/>
      <c r="T336" s="297" t="s">
        <v>256</v>
      </c>
      <c r="U336" s="297"/>
      <c r="V336" s="297" t="s">
        <v>256</v>
      </c>
      <c r="W336" s="297"/>
      <c r="X336" s="177" t="s">
        <v>2963</v>
      </c>
    </row>
    <row r="337" spans="1:24" ht="16.95" customHeight="1">
      <c r="A337" s="182" t="s">
        <v>4728</v>
      </c>
      <c r="B337" s="297">
        <v>4</v>
      </c>
      <c r="C337" s="297" t="s">
        <v>2443</v>
      </c>
      <c r="D337" s="297"/>
      <c r="E337" s="297" t="s">
        <v>256</v>
      </c>
      <c r="F337" s="183" t="s">
        <v>5971</v>
      </c>
      <c r="G337" s="182" t="s">
        <v>2463</v>
      </c>
      <c r="H337" s="297" t="s">
        <v>2498</v>
      </c>
      <c r="I337" s="297" t="s">
        <v>2500</v>
      </c>
      <c r="J337" s="297" t="s">
        <v>2960</v>
      </c>
      <c r="K337" s="182" t="s">
        <v>3259</v>
      </c>
      <c r="L337" s="184" t="s">
        <v>3013</v>
      </c>
      <c r="M337" s="185" t="s">
        <v>4350</v>
      </c>
      <c r="N337" s="305" t="s">
        <v>3260</v>
      </c>
      <c r="O337" s="297"/>
      <c r="P337" s="297"/>
      <c r="Q337" s="297" t="s">
        <v>256</v>
      </c>
      <c r="R337" s="297"/>
      <c r="S337" s="297" t="s">
        <v>256</v>
      </c>
      <c r="T337" s="297"/>
      <c r="U337" s="297"/>
      <c r="V337" s="297" t="s">
        <v>256</v>
      </c>
      <c r="W337" s="297"/>
      <c r="X337" s="177" t="s">
        <v>2974</v>
      </c>
    </row>
    <row r="338" spans="1:24" ht="16.95" customHeight="1">
      <c r="A338" s="202" t="s">
        <v>3261</v>
      </c>
      <c r="B338" s="302">
        <v>4</v>
      </c>
      <c r="C338" s="302" t="s">
        <v>2967</v>
      </c>
      <c r="D338" s="302"/>
      <c r="E338" s="302"/>
      <c r="F338" s="203" t="s">
        <v>5971</v>
      </c>
      <c r="G338" s="202" t="s">
        <v>2435</v>
      </c>
      <c r="H338" s="302" t="s">
        <v>2498</v>
      </c>
      <c r="I338" s="302"/>
      <c r="J338" s="302"/>
      <c r="K338" s="202"/>
      <c r="L338" s="204" t="s">
        <v>2465</v>
      </c>
      <c r="M338" s="205" t="s">
        <v>4351</v>
      </c>
      <c r="N338" s="310" t="s">
        <v>3262</v>
      </c>
      <c r="O338" s="302" t="s">
        <v>256</v>
      </c>
      <c r="P338" s="302"/>
      <c r="Q338" s="302"/>
      <c r="R338" s="302"/>
      <c r="S338" s="302"/>
      <c r="T338" s="302" t="s">
        <v>256</v>
      </c>
      <c r="U338" s="302" t="s">
        <v>256</v>
      </c>
      <c r="V338" s="302" t="s">
        <v>256</v>
      </c>
      <c r="W338" s="302"/>
      <c r="X338" s="385" t="s">
        <v>3123</v>
      </c>
    </row>
    <row r="339" spans="1:24" ht="16.95" customHeight="1">
      <c r="A339" s="182" t="s">
        <v>3263</v>
      </c>
      <c r="B339" s="297">
        <v>4</v>
      </c>
      <c r="C339" s="297" t="s">
        <v>3138</v>
      </c>
      <c r="D339" s="297"/>
      <c r="E339" s="297"/>
      <c r="F339" s="183" t="s">
        <v>5971</v>
      </c>
      <c r="G339" s="182" t="s">
        <v>3264</v>
      </c>
      <c r="H339" s="297" t="s">
        <v>3146</v>
      </c>
      <c r="I339" s="297" t="s">
        <v>2989</v>
      </c>
      <c r="J339" s="297" t="s">
        <v>3152</v>
      </c>
      <c r="K339" s="182" t="s">
        <v>3265</v>
      </c>
      <c r="L339" s="184" t="s">
        <v>6027</v>
      </c>
      <c r="M339" s="185" t="s">
        <v>4352</v>
      </c>
      <c r="N339" s="305" t="s">
        <v>3266</v>
      </c>
      <c r="O339" s="297"/>
      <c r="P339" s="297"/>
      <c r="Q339" s="297"/>
      <c r="R339" s="297"/>
      <c r="S339" s="297"/>
      <c r="T339" s="297"/>
      <c r="U339" s="297" t="s">
        <v>3078</v>
      </c>
      <c r="V339" s="297" t="s">
        <v>3078</v>
      </c>
      <c r="W339" s="297"/>
      <c r="X339" s="385" t="s">
        <v>3149</v>
      </c>
    </row>
    <row r="340" spans="1:24" ht="16.95" customHeight="1">
      <c r="A340" s="186" t="s">
        <v>3267</v>
      </c>
      <c r="B340" s="298">
        <v>4</v>
      </c>
      <c r="C340" s="298" t="s">
        <v>3268</v>
      </c>
      <c r="D340" s="298"/>
      <c r="E340" s="298"/>
      <c r="F340" s="187" t="s">
        <v>3144</v>
      </c>
      <c r="G340" s="186" t="s">
        <v>3139</v>
      </c>
      <c r="H340" s="298" t="s">
        <v>3146</v>
      </c>
      <c r="I340" s="298" t="s">
        <v>2989</v>
      </c>
      <c r="J340" s="298" t="s">
        <v>3152</v>
      </c>
      <c r="K340" s="186" t="s">
        <v>3269</v>
      </c>
      <c r="L340" s="188" t="s">
        <v>3140</v>
      </c>
      <c r="M340" s="189" t="s">
        <v>4353</v>
      </c>
      <c r="N340" s="306" t="s">
        <v>3270</v>
      </c>
      <c r="O340" s="298"/>
      <c r="P340" s="298"/>
      <c r="Q340" s="298"/>
      <c r="R340" s="298"/>
      <c r="S340" s="298"/>
      <c r="T340" s="298" t="s">
        <v>3078</v>
      </c>
      <c r="U340" s="298" t="s">
        <v>3078</v>
      </c>
      <c r="V340" s="298" t="s">
        <v>3078</v>
      </c>
      <c r="W340" s="298"/>
      <c r="X340" s="385" t="s">
        <v>3155</v>
      </c>
    </row>
    <row r="341" spans="1:24" ht="16.95" customHeight="1">
      <c r="A341" s="194" t="s">
        <v>3271</v>
      </c>
      <c r="B341" s="300">
        <v>4</v>
      </c>
      <c r="C341" s="300" t="s">
        <v>5956</v>
      </c>
      <c r="D341" s="300"/>
      <c r="E341" s="300" t="s">
        <v>256</v>
      </c>
      <c r="F341" s="195" t="s">
        <v>5971</v>
      </c>
      <c r="G341" s="194" t="s">
        <v>3139</v>
      </c>
      <c r="H341" s="300" t="s">
        <v>3146</v>
      </c>
      <c r="I341" s="300" t="s">
        <v>2989</v>
      </c>
      <c r="J341" s="300" t="s">
        <v>3152</v>
      </c>
      <c r="K341" s="194" t="s">
        <v>3272</v>
      </c>
      <c r="L341" s="196" t="s">
        <v>2943</v>
      </c>
      <c r="M341" s="197" t="s">
        <v>4354</v>
      </c>
      <c r="N341" s="308" t="s">
        <v>3273</v>
      </c>
      <c r="O341" s="300"/>
      <c r="P341" s="300"/>
      <c r="Q341" s="300"/>
      <c r="R341" s="300"/>
      <c r="S341" s="300"/>
      <c r="T341" s="300" t="s">
        <v>3078</v>
      </c>
      <c r="U341" s="300" t="s">
        <v>3078</v>
      </c>
      <c r="V341" s="300" t="s">
        <v>3078</v>
      </c>
      <c r="W341" s="300"/>
      <c r="X341" s="385" t="s">
        <v>3161</v>
      </c>
    </row>
    <row r="342" spans="1:24" ht="16.95" customHeight="1">
      <c r="A342" s="198" t="s">
        <v>2285</v>
      </c>
      <c r="B342" s="301">
        <v>5</v>
      </c>
      <c r="C342" s="301" t="s">
        <v>2425</v>
      </c>
      <c r="D342" s="301"/>
      <c r="E342" s="301" t="s">
        <v>256</v>
      </c>
      <c r="F342" s="199" t="s">
        <v>5971</v>
      </c>
      <c r="G342" s="198" t="s">
        <v>2435</v>
      </c>
      <c r="H342" s="301" t="s">
        <v>2498</v>
      </c>
      <c r="I342" s="301" t="s">
        <v>2500</v>
      </c>
      <c r="J342" s="301"/>
      <c r="K342" s="198"/>
      <c r="L342" s="200" t="s">
        <v>2964</v>
      </c>
      <c r="M342" s="201" t="s">
        <v>4355</v>
      </c>
      <c r="N342" s="309" t="s">
        <v>3274</v>
      </c>
      <c r="O342" s="301" t="s">
        <v>256</v>
      </c>
      <c r="P342" s="301"/>
      <c r="Q342" s="301"/>
      <c r="R342" s="301"/>
      <c r="S342" s="301"/>
      <c r="T342" s="301" t="s">
        <v>256</v>
      </c>
      <c r="U342" s="301"/>
      <c r="V342" s="301" t="s">
        <v>256</v>
      </c>
      <c r="W342" s="301" t="s">
        <v>256</v>
      </c>
      <c r="X342" s="177" t="s">
        <v>2959</v>
      </c>
    </row>
    <row r="343" spans="1:24" ht="16.95" customHeight="1">
      <c r="A343" s="186" t="s">
        <v>2359</v>
      </c>
      <c r="B343" s="298">
        <v>5</v>
      </c>
      <c r="C343" s="298" t="s">
        <v>2433</v>
      </c>
      <c r="D343" s="298"/>
      <c r="E343" s="298" t="s">
        <v>256</v>
      </c>
      <c r="F343" s="187" t="s">
        <v>5971</v>
      </c>
      <c r="G343" s="186" t="s">
        <v>2479</v>
      </c>
      <c r="H343" s="298" t="s">
        <v>2498</v>
      </c>
      <c r="I343" s="298" t="s">
        <v>2500</v>
      </c>
      <c r="J343" s="298"/>
      <c r="K343" s="186"/>
      <c r="L343" s="188" t="s">
        <v>3013</v>
      </c>
      <c r="M343" s="189" t="s">
        <v>4356</v>
      </c>
      <c r="N343" s="306" t="s">
        <v>2780</v>
      </c>
      <c r="O343" s="298"/>
      <c r="P343" s="298"/>
      <c r="Q343" s="298" t="s">
        <v>256</v>
      </c>
      <c r="R343" s="298"/>
      <c r="S343" s="298"/>
      <c r="T343" s="298"/>
      <c r="U343" s="298"/>
      <c r="V343" s="298"/>
      <c r="W343" s="298"/>
      <c r="X343" s="177" t="s">
        <v>2959</v>
      </c>
    </row>
    <row r="344" spans="1:24" ht="16.95" customHeight="1">
      <c r="A344" s="198" t="s">
        <v>2313</v>
      </c>
      <c r="B344" s="301">
        <v>5</v>
      </c>
      <c r="C344" s="301" t="s">
        <v>2425</v>
      </c>
      <c r="D344" s="301"/>
      <c r="E344" s="301"/>
      <c r="F344" s="199" t="s">
        <v>2444</v>
      </c>
      <c r="G344" s="198" t="s">
        <v>2467</v>
      </c>
      <c r="H344" s="301" t="s">
        <v>2498</v>
      </c>
      <c r="I344" s="301" t="s">
        <v>2500</v>
      </c>
      <c r="J344" s="301" t="s">
        <v>2960</v>
      </c>
      <c r="K344" s="198" t="s">
        <v>3275</v>
      </c>
      <c r="L344" s="200" t="s">
        <v>2465</v>
      </c>
      <c r="M344" s="201" t="s">
        <v>4357</v>
      </c>
      <c r="N344" s="309" t="s">
        <v>2764</v>
      </c>
      <c r="O344" s="301" t="s">
        <v>256</v>
      </c>
      <c r="P344" s="301"/>
      <c r="Q344" s="301" t="s">
        <v>256</v>
      </c>
      <c r="R344" s="301"/>
      <c r="S344" s="301"/>
      <c r="T344" s="301"/>
      <c r="U344" s="301"/>
      <c r="V344" s="301"/>
      <c r="W344" s="301"/>
      <c r="X344" s="177" t="s">
        <v>2959</v>
      </c>
    </row>
    <row r="345" spans="1:24" ht="16.95" customHeight="1">
      <c r="A345" s="186" t="s">
        <v>2155</v>
      </c>
      <c r="B345" s="298">
        <v>5</v>
      </c>
      <c r="C345" s="298" t="s">
        <v>2433</v>
      </c>
      <c r="D345" s="298"/>
      <c r="E345" s="298" t="s">
        <v>256</v>
      </c>
      <c r="F345" s="187" t="s">
        <v>6007</v>
      </c>
      <c r="G345" s="186" t="s">
        <v>2475</v>
      </c>
      <c r="H345" s="298" t="s">
        <v>2498</v>
      </c>
      <c r="I345" s="298"/>
      <c r="J345" s="298"/>
      <c r="K345" s="186"/>
      <c r="L345" s="188" t="s">
        <v>2964</v>
      </c>
      <c r="M345" s="189" t="s">
        <v>4358</v>
      </c>
      <c r="N345" s="306" t="s">
        <v>2765</v>
      </c>
      <c r="O345" s="298"/>
      <c r="P345" s="298"/>
      <c r="Q345" s="298"/>
      <c r="R345" s="298" t="s">
        <v>256</v>
      </c>
      <c r="S345" s="298"/>
      <c r="T345" s="298"/>
      <c r="U345" s="298"/>
      <c r="V345" s="298"/>
      <c r="W345" s="298"/>
      <c r="X345" s="177" t="s">
        <v>2959</v>
      </c>
    </row>
    <row r="346" spans="1:24" ht="16.95" customHeight="1">
      <c r="A346" s="190" t="s">
        <v>2399</v>
      </c>
      <c r="B346" s="299">
        <v>5</v>
      </c>
      <c r="C346" s="299" t="s">
        <v>2429</v>
      </c>
      <c r="D346" s="299"/>
      <c r="E346" s="299" t="s">
        <v>256</v>
      </c>
      <c r="F346" s="191" t="s">
        <v>5971</v>
      </c>
      <c r="G346" s="190" t="s">
        <v>2435</v>
      </c>
      <c r="H346" s="299" t="s">
        <v>2498</v>
      </c>
      <c r="I346" s="299" t="s">
        <v>2500</v>
      </c>
      <c r="J346" s="299" t="s">
        <v>2960</v>
      </c>
      <c r="K346" s="190" t="s">
        <v>3276</v>
      </c>
      <c r="L346" s="192" t="s">
        <v>2964</v>
      </c>
      <c r="M346" s="193" t="s">
        <v>4359</v>
      </c>
      <c r="N346" s="307" t="s">
        <v>3277</v>
      </c>
      <c r="O346" s="299"/>
      <c r="P346" s="299"/>
      <c r="Q346" s="299"/>
      <c r="R346" s="299"/>
      <c r="S346" s="299"/>
      <c r="T346" s="299" t="s">
        <v>3078</v>
      </c>
      <c r="U346" s="299"/>
      <c r="V346" s="299" t="s">
        <v>256</v>
      </c>
      <c r="W346" s="299" t="s">
        <v>256</v>
      </c>
      <c r="X346" s="177" t="s">
        <v>2959</v>
      </c>
    </row>
    <row r="347" spans="1:24" ht="16.95" customHeight="1">
      <c r="A347" s="186" t="s">
        <v>2160</v>
      </c>
      <c r="B347" s="298">
        <v>5</v>
      </c>
      <c r="C347" s="298" t="s">
        <v>2433</v>
      </c>
      <c r="D347" s="298"/>
      <c r="E347" s="298" t="s">
        <v>256</v>
      </c>
      <c r="F347" s="187" t="s">
        <v>5971</v>
      </c>
      <c r="G347" s="186" t="s">
        <v>2488</v>
      </c>
      <c r="H347" s="298" t="s">
        <v>2498</v>
      </c>
      <c r="I347" s="298"/>
      <c r="J347" s="298"/>
      <c r="K347" s="186"/>
      <c r="L347" s="188" t="s">
        <v>2998</v>
      </c>
      <c r="M347" s="189" t="s">
        <v>4360</v>
      </c>
      <c r="N347" s="306" t="s">
        <v>2766</v>
      </c>
      <c r="O347" s="298"/>
      <c r="P347" s="298"/>
      <c r="Q347" s="298"/>
      <c r="R347" s="298" t="s">
        <v>256</v>
      </c>
      <c r="S347" s="298"/>
      <c r="T347" s="298"/>
      <c r="U347" s="298"/>
      <c r="V347" s="298"/>
      <c r="W347" s="298"/>
      <c r="X347" s="177" t="s">
        <v>2959</v>
      </c>
    </row>
    <row r="348" spans="1:24" ht="16.95" customHeight="1">
      <c r="A348" s="182" t="s">
        <v>2372</v>
      </c>
      <c r="B348" s="297">
        <v>5</v>
      </c>
      <c r="C348" s="297" t="s">
        <v>2443</v>
      </c>
      <c r="D348" s="297"/>
      <c r="E348" s="297" t="s">
        <v>256</v>
      </c>
      <c r="F348" s="183" t="s">
        <v>5971</v>
      </c>
      <c r="G348" s="182" t="s">
        <v>2435</v>
      </c>
      <c r="H348" s="297" t="s">
        <v>2498</v>
      </c>
      <c r="I348" s="297" t="s">
        <v>2500</v>
      </c>
      <c r="J348" s="297"/>
      <c r="K348" s="182"/>
      <c r="L348" s="184" t="s">
        <v>2998</v>
      </c>
      <c r="M348" s="185" t="s">
        <v>4361</v>
      </c>
      <c r="N348" s="305" t="s">
        <v>2747</v>
      </c>
      <c r="O348" s="297"/>
      <c r="P348" s="297"/>
      <c r="Q348" s="297"/>
      <c r="R348" s="297"/>
      <c r="S348" s="297"/>
      <c r="T348" s="297" t="s">
        <v>256</v>
      </c>
      <c r="U348" s="297"/>
      <c r="V348" s="297" t="s">
        <v>256</v>
      </c>
      <c r="W348" s="297"/>
      <c r="X348" s="177" t="s">
        <v>2959</v>
      </c>
    </row>
    <row r="349" spans="1:24" ht="16.95" customHeight="1">
      <c r="A349" s="206" t="s">
        <v>2253</v>
      </c>
      <c r="B349" s="303">
        <v>5</v>
      </c>
      <c r="C349" s="303" t="s">
        <v>4553</v>
      </c>
      <c r="D349" s="303" t="s">
        <v>256</v>
      </c>
      <c r="E349" s="303"/>
      <c r="F349" s="207" t="s">
        <v>2438</v>
      </c>
      <c r="G349" s="206" t="s">
        <v>2475</v>
      </c>
      <c r="H349" s="303" t="s">
        <v>2498</v>
      </c>
      <c r="I349" s="303" t="s">
        <v>2500</v>
      </c>
      <c r="J349" s="303" t="s">
        <v>2960</v>
      </c>
      <c r="K349" s="206" t="s">
        <v>3278</v>
      </c>
      <c r="L349" s="208" t="s">
        <v>2438</v>
      </c>
      <c r="M349" s="209" t="s">
        <v>4362</v>
      </c>
      <c r="N349" s="311" t="s">
        <v>2771</v>
      </c>
      <c r="O349" s="303"/>
      <c r="P349" s="303" t="s">
        <v>256</v>
      </c>
      <c r="Q349" s="303"/>
      <c r="R349" s="303"/>
      <c r="S349" s="303"/>
      <c r="T349" s="303"/>
      <c r="U349" s="303"/>
      <c r="V349" s="303"/>
      <c r="W349" s="303"/>
      <c r="X349" s="177" t="s">
        <v>2959</v>
      </c>
    </row>
    <row r="350" spans="1:24" ht="16.95" customHeight="1">
      <c r="A350" s="206" t="s">
        <v>2198</v>
      </c>
      <c r="B350" s="303">
        <v>5</v>
      </c>
      <c r="C350" s="303" t="s">
        <v>4553</v>
      </c>
      <c r="D350" s="303" t="s">
        <v>256</v>
      </c>
      <c r="E350" s="303"/>
      <c r="F350" s="207" t="s">
        <v>2438</v>
      </c>
      <c r="G350" s="206" t="s">
        <v>2475</v>
      </c>
      <c r="H350" s="303" t="s">
        <v>2498</v>
      </c>
      <c r="I350" s="303" t="s">
        <v>2500</v>
      </c>
      <c r="J350" s="303"/>
      <c r="K350" s="206"/>
      <c r="L350" s="208" t="s">
        <v>2465</v>
      </c>
      <c r="M350" s="209" t="s">
        <v>4363</v>
      </c>
      <c r="N350" s="311" t="s">
        <v>2776</v>
      </c>
      <c r="O350" s="303"/>
      <c r="P350" s="303"/>
      <c r="Q350" s="303" t="s">
        <v>256</v>
      </c>
      <c r="R350" s="303"/>
      <c r="S350" s="303" t="s">
        <v>256</v>
      </c>
      <c r="T350" s="303"/>
      <c r="U350" s="303"/>
      <c r="V350" s="303"/>
      <c r="W350" s="303"/>
      <c r="X350" s="177" t="s">
        <v>2959</v>
      </c>
    </row>
    <row r="351" spans="1:24" ht="16.95" customHeight="1">
      <c r="A351" s="190" t="s">
        <v>2375</v>
      </c>
      <c r="B351" s="299">
        <v>5</v>
      </c>
      <c r="C351" s="299" t="s">
        <v>2429</v>
      </c>
      <c r="D351" s="299"/>
      <c r="E351" s="299"/>
      <c r="F351" s="191" t="s">
        <v>5971</v>
      </c>
      <c r="G351" s="190" t="s">
        <v>2493</v>
      </c>
      <c r="H351" s="299" t="s">
        <v>2498</v>
      </c>
      <c r="I351" s="299" t="s">
        <v>2500</v>
      </c>
      <c r="J351" s="299" t="s">
        <v>2960</v>
      </c>
      <c r="K351" s="190" t="s">
        <v>3279</v>
      </c>
      <c r="L351" s="192" t="s">
        <v>2465</v>
      </c>
      <c r="M351" s="193" t="s">
        <v>4364</v>
      </c>
      <c r="N351" s="307" t="s">
        <v>2748</v>
      </c>
      <c r="O351" s="299"/>
      <c r="P351" s="299"/>
      <c r="Q351" s="299" t="s">
        <v>3078</v>
      </c>
      <c r="R351" s="299"/>
      <c r="S351" s="299"/>
      <c r="T351" s="299" t="s">
        <v>256</v>
      </c>
      <c r="U351" s="299"/>
      <c r="V351" s="299" t="s">
        <v>256</v>
      </c>
      <c r="W351" s="299"/>
      <c r="X351" s="177" t="s">
        <v>2959</v>
      </c>
    </row>
    <row r="352" spans="1:24" ht="16.95" customHeight="1">
      <c r="A352" s="182" t="s">
        <v>2357</v>
      </c>
      <c r="B352" s="297">
        <v>5</v>
      </c>
      <c r="C352" s="297" t="s">
        <v>2443</v>
      </c>
      <c r="D352" s="297"/>
      <c r="E352" s="297" t="s">
        <v>256</v>
      </c>
      <c r="F352" s="183" t="s">
        <v>2438</v>
      </c>
      <c r="G352" s="182" t="s">
        <v>2463</v>
      </c>
      <c r="H352" s="297" t="s">
        <v>2498</v>
      </c>
      <c r="I352" s="297" t="s">
        <v>2500</v>
      </c>
      <c r="J352" s="297" t="s">
        <v>2960</v>
      </c>
      <c r="K352" s="182" t="s">
        <v>3280</v>
      </c>
      <c r="L352" s="184" t="s">
        <v>3013</v>
      </c>
      <c r="M352" s="185" t="s">
        <v>4365</v>
      </c>
      <c r="N352" s="305" t="s">
        <v>2779</v>
      </c>
      <c r="O352" s="297"/>
      <c r="P352" s="297"/>
      <c r="Q352" s="297" t="s">
        <v>256</v>
      </c>
      <c r="R352" s="297"/>
      <c r="S352" s="297"/>
      <c r="T352" s="297"/>
      <c r="U352" s="297"/>
      <c r="V352" s="297" t="s">
        <v>256</v>
      </c>
      <c r="W352" s="297"/>
      <c r="X352" s="177" t="s">
        <v>2959</v>
      </c>
    </row>
    <row r="353" spans="1:24" ht="16.95" customHeight="1">
      <c r="A353" s="182" t="s">
        <v>2191</v>
      </c>
      <c r="B353" s="297">
        <v>5</v>
      </c>
      <c r="C353" s="297" t="s">
        <v>2443</v>
      </c>
      <c r="D353" s="297"/>
      <c r="E353" s="297"/>
      <c r="F353" s="183" t="s">
        <v>5971</v>
      </c>
      <c r="G353" s="182" t="s">
        <v>2439</v>
      </c>
      <c r="H353" s="297" t="s">
        <v>2498</v>
      </c>
      <c r="I353" s="297" t="s">
        <v>2500</v>
      </c>
      <c r="J353" s="297" t="s">
        <v>2960</v>
      </c>
      <c r="K353" s="182" t="s">
        <v>3166</v>
      </c>
      <c r="L353" s="184" t="s">
        <v>2465</v>
      </c>
      <c r="M353" s="185" t="s">
        <v>4366</v>
      </c>
      <c r="N353" s="305" t="s">
        <v>2743</v>
      </c>
      <c r="O353" s="297"/>
      <c r="P353" s="297"/>
      <c r="Q353" s="297"/>
      <c r="R353" s="297"/>
      <c r="S353" s="297" t="s">
        <v>256</v>
      </c>
      <c r="T353" s="297"/>
      <c r="U353" s="297"/>
      <c r="V353" s="297"/>
      <c r="W353" s="297"/>
      <c r="X353" s="177" t="s">
        <v>2959</v>
      </c>
    </row>
    <row r="354" spans="1:24" ht="16.95" customHeight="1">
      <c r="A354" s="206" t="s">
        <v>2238</v>
      </c>
      <c r="B354" s="303">
        <v>5</v>
      </c>
      <c r="C354" s="303" t="s">
        <v>4553</v>
      </c>
      <c r="D354" s="303" t="s">
        <v>256</v>
      </c>
      <c r="E354" s="303"/>
      <c r="F354" s="207" t="s">
        <v>2438</v>
      </c>
      <c r="G354" s="206" t="s">
        <v>2475</v>
      </c>
      <c r="H354" s="303" t="s">
        <v>2498</v>
      </c>
      <c r="I354" s="303"/>
      <c r="J354" s="303"/>
      <c r="K354" s="206"/>
      <c r="L354" s="208" t="s">
        <v>2438</v>
      </c>
      <c r="M354" s="209" t="s">
        <v>4367</v>
      </c>
      <c r="N354" s="311" t="s">
        <v>2745</v>
      </c>
      <c r="O354" s="303"/>
      <c r="P354" s="303"/>
      <c r="Q354" s="303"/>
      <c r="R354" s="303"/>
      <c r="S354" s="303"/>
      <c r="T354" s="303"/>
      <c r="U354" s="303" t="s">
        <v>256</v>
      </c>
      <c r="V354" s="303" t="s">
        <v>256</v>
      </c>
      <c r="W354" s="303"/>
      <c r="X354" s="177" t="s">
        <v>2959</v>
      </c>
    </row>
    <row r="355" spans="1:24" ht="16.95" customHeight="1">
      <c r="A355" s="194" t="s">
        <v>2251</v>
      </c>
      <c r="B355" s="300">
        <v>5</v>
      </c>
      <c r="C355" s="300" t="s">
        <v>2437</v>
      </c>
      <c r="D355" s="300"/>
      <c r="E355" s="300"/>
      <c r="F355" s="195" t="s">
        <v>5971</v>
      </c>
      <c r="G355" s="194" t="s">
        <v>2467</v>
      </c>
      <c r="H355" s="300" t="s">
        <v>2498</v>
      </c>
      <c r="I355" s="300" t="s">
        <v>2500</v>
      </c>
      <c r="J355" s="300"/>
      <c r="K355" s="194"/>
      <c r="L355" s="196" t="s">
        <v>2459</v>
      </c>
      <c r="M355" s="197" t="s">
        <v>5273</v>
      </c>
      <c r="N355" s="308" t="s">
        <v>2770</v>
      </c>
      <c r="O355" s="300"/>
      <c r="P355" s="300" t="s">
        <v>256</v>
      </c>
      <c r="Q355" s="300" t="s">
        <v>256</v>
      </c>
      <c r="R355" s="300"/>
      <c r="S355" s="300"/>
      <c r="T355" s="300"/>
      <c r="U355" s="300"/>
      <c r="V355" s="300"/>
      <c r="W355" s="300"/>
      <c r="X355" s="177" t="s">
        <v>2959</v>
      </c>
    </row>
    <row r="356" spans="1:24" ht="16.95" customHeight="1">
      <c r="A356" s="198" t="s">
        <v>3281</v>
      </c>
      <c r="B356" s="301">
        <v>5</v>
      </c>
      <c r="C356" s="301" t="s">
        <v>2425</v>
      </c>
      <c r="D356" s="301"/>
      <c r="E356" s="301" t="s">
        <v>256</v>
      </c>
      <c r="F356" s="199" t="s">
        <v>5971</v>
      </c>
      <c r="G356" s="198" t="s">
        <v>2449</v>
      </c>
      <c r="H356" s="301" t="s">
        <v>2498</v>
      </c>
      <c r="I356" s="301" t="s">
        <v>2500</v>
      </c>
      <c r="J356" s="301"/>
      <c r="K356" s="198"/>
      <c r="L356" s="200" t="s">
        <v>3013</v>
      </c>
      <c r="M356" s="201" t="s">
        <v>4368</v>
      </c>
      <c r="N356" s="309" t="s">
        <v>2741</v>
      </c>
      <c r="O356" s="301"/>
      <c r="P356" s="301"/>
      <c r="Q356" s="301" t="s">
        <v>256</v>
      </c>
      <c r="R356" s="301"/>
      <c r="S356" s="301"/>
      <c r="T356" s="301" t="s">
        <v>256</v>
      </c>
      <c r="U356" s="301"/>
      <c r="V356" s="301" t="s">
        <v>256</v>
      </c>
      <c r="W356" s="301"/>
      <c r="X356" s="177" t="s">
        <v>2963</v>
      </c>
    </row>
    <row r="357" spans="1:24" ht="16.95" customHeight="1">
      <c r="A357" s="210" t="s">
        <v>2367</v>
      </c>
      <c r="B357" s="304">
        <v>5</v>
      </c>
      <c r="C357" s="304" t="s">
        <v>2450</v>
      </c>
      <c r="D357" s="304"/>
      <c r="E357" s="304"/>
      <c r="F357" s="211" t="s">
        <v>2438</v>
      </c>
      <c r="G357" s="210" t="s">
        <v>2452</v>
      </c>
      <c r="H357" s="304" t="s">
        <v>2498</v>
      </c>
      <c r="I357" s="304" t="s">
        <v>2500</v>
      </c>
      <c r="J357" s="304" t="s">
        <v>2960</v>
      </c>
      <c r="K357" s="210" t="s">
        <v>3282</v>
      </c>
      <c r="L357" s="212" t="s">
        <v>2471</v>
      </c>
      <c r="M357" s="213" t="s">
        <v>4369</v>
      </c>
      <c r="N357" s="312" t="s">
        <v>2746</v>
      </c>
      <c r="O357" s="304"/>
      <c r="P357" s="304"/>
      <c r="Q357" s="304"/>
      <c r="R357" s="304"/>
      <c r="S357" s="304"/>
      <c r="T357" s="304" t="s">
        <v>256</v>
      </c>
      <c r="U357" s="304"/>
      <c r="V357" s="304" t="s">
        <v>256</v>
      </c>
      <c r="W357" s="304" t="s">
        <v>256</v>
      </c>
      <c r="X357" s="177" t="s">
        <v>2959</v>
      </c>
    </row>
    <row r="358" spans="1:24" ht="16.95" customHeight="1">
      <c r="A358" s="194" t="s">
        <v>2255</v>
      </c>
      <c r="B358" s="300">
        <v>5</v>
      </c>
      <c r="C358" s="300" t="s">
        <v>2437</v>
      </c>
      <c r="D358" s="300"/>
      <c r="E358" s="300" t="s">
        <v>256</v>
      </c>
      <c r="F358" s="195" t="s">
        <v>5971</v>
      </c>
      <c r="G358" s="194" t="s">
        <v>2461</v>
      </c>
      <c r="H358" s="300" t="s">
        <v>2498</v>
      </c>
      <c r="I358" s="300" t="s">
        <v>2500</v>
      </c>
      <c r="J358" s="300"/>
      <c r="K358" s="194"/>
      <c r="L358" s="196" t="s">
        <v>3013</v>
      </c>
      <c r="M358" s="197" t="s">
        <v>4370</v>
      </c>
      <c r="N358" s="308" t="s">
        <v>2737</v>
      </c>
      <c r="O358" s="300"/>
      <c r="P358" s="300"/>
      <c r="Q358" s="300"/>
      <c r="R358" s="300"/>
      <c r="S358" s="300"/>
      <c r="T358" s="300"/>
      <c r="U358" s="300" t="s">
        <v>256</v>
      </c>
      <c r="V358" s="300" t="s">
        <v>256</v>
      </c>
      <c r="W358" s="300"/>
      <c r="X358" s="177" t="s">
        <v>2963</v>
      </c>
    </row>
    <row r="359" spans="1:24" ht="16.95" customHeight="1">
      <c r="A359" s="190" t="s">
        <v>2244</v>
      </c>
      <c r="B359" s="299">
        <v>5</v>
      </c>
      <c r="C359" s="299" t="s">
        <v>2429</v>
      </c>
      <c r="D359" s="299"/>
      <c r="E359" s="299" t="s">
        <v>256</v>
      </c>
      <c r="F359" s="191" t="s">
        <v>5971</v>
      </c>
      <c r="G359" s="190" t="s">
        <v>2461</v>
      </c>
      <c r="H359" s="299" t="s">
        <v>2498</v>
      </c>
      <c r="I359" s="299" t="s">
        <v>2500</v>
      </c>
      <c r="J359" s="299" t="s">
        <v>2960</v>
      </c>
      <c r="K359" s="190" t="s">
        <v>3283</v>
      </c>
      <c r="L359" s="192" t="s">
        <v>2964</v>
      </c>
      <c r="M359" s="193" t="s">
        <v>4371</v>
      </c>
      <c r="N359" s="307" t="s">
        <v>2736</v>
      </c>
      <c r="O359" s="299"/>
      <c r="P359" s="299" t="s">
        <v>256</v>
      </c>
      <c r="Q359" s="299"/>
      <c r="R359" s="299"/>
      <c r="S359" s="299"/>
      <c r="T359" s="299"/>
      <c r="U359" s="299"/>
      <c r="V359" s="299" t="s">
        <v>256</v>
      </c>
      <c r="W359" s="299"/>
      <c r="X359" s="177" t="s">
        <v>2963</v>
      </c>
    </row>
    <row r="360" spans="1:24" ht="16.95" customHeight="1">
      <c r="A360" s="190" t="s">
        <v>2164</v>
      </c>
      <c r="B360" s="299">
        <v>5</v>
      </c>
      <c r="C360" s="299" t="s">
        <v>2429</v>
      </c>
      <c r="D360" s="299"/>
      <c r="E360" s="299"/>
      <c r="F360" s="191" t="s">
        <v>5971</v>
      </c>
      <c r="G360" s="190" t="s">
        <v>2488</v>
      </c>
      <c r="H360" s="299" t="s">
        <v>2498</v>
      </c>
      <c r="I360" s="299"/>
      <c r="J360" s="299"/>
      <c r="K360" s="190"/>
      <c r="L360" s="192" t="s">
        <v>2465</v>
      </c>
      <c r="M360" s="193" t="s">
        <v>4372</v>
      </c>
      <c r="N360" s="307" t="s">
        <v>2767</v>
      </c>
      <c r="O360" s="299"/>
      <c r="P360" s="299"/>
      <c r="Q360" s="299"/>
      <c r="R360" s="299" t="s">
        <v>256</v>
      </c>
      <c r="S360" s="299"/>
      <c r="T360" s="299"/>
      <c r="U360" s="299"/>
      <c r="V360" s="299"/>
      <c r="W360" s="299"/>
      <c r="X360" s="177" t="s">
        <v>2959</v>
      </c>
    </row>
    <row r="361" spans="1:24" ht="16.95" customHeight="1">
      <c r="A361" s="186" t="s">
        <v>2172</v>
      </c>
      <c r="B361" s="298">
        <v>5</v>
      </c>
      <c r="C361" s="298" t="s">
        <v>2433</v>
      </c>
      <c r="D361" s="298"/>
      <c r="E361" s="298" t="s">
        <v>256</v>
      </c>
      <c r="F361" s="187" t="s">
        <v>5971</v>
      </c>
      <c r="G361" s="186" t="s">
        <v>2475</v>
      </c>
      <c r="H361" s="298" t="s">
        <v>2498</v>
      </c>
      <c r="I361" s="298" t="s">
        <v>2500</v>
      </c>
      <c r="J361" s="298" t="s">
        <v>2960</v>
      </c>
      <c r="K361" s="186" t="s">
        <v>3284</v>
      </c>
      <c r="L361" s="188" t="s">
        <v>2964</v>
      </c>
      <c r="M361" s="189" t="s">
        <v>4373</v>
      </c>
      <c r="N361" s="306" t="s">
        <v>2768</v>
      </c>
      <c r="O361" s="298"/>
      <c r="P361" s="298" t="s">
        <v>256</v>
      </c>
      <c r="Q361" s="298"/>
      <c r="R361" s="298" t="s">
        <v>256</v>
      </c>
      <c r="S361" s="298"/>
      <c r="T361" s="298"/>
      <c r="U361" s="298"/>
      <c r="V361" s="298"/>
      <c r="W361" s="298"/>
      <c r="X361" s="177" t="s">
        <v>2959</v>
      </c>
    </row>
    <row r="362" spans="1:24" ht="16.95" customHeight="1">
      <c r="A362" s="202" t="s">
        <v>2286</v>
      </c>
      <c r="B362" s="302">
        <v>5</v>
      </c>
      <c r="C362" s="302" t="s">
        <v>2967</v>
      </c>
      <c r="D362" s="302"/>
      <c r="E362" s="302" t="s">
        <v>256</v>
      </c>
      <c r="F362" s="203" t="s">
        <v>5971</v>
      </c>
      <c r="G362" s="202" t="s">
        <v>2461</v>
      </c>
      <c r="H362" s="302" t="s">
        <v>2498</v>
      </c>
      <c r="I362" s="302" t="s">
        <v>2500</v>
      </c>
      <c r="J362" s="302"/>
      <c r="K362" s="202"/>
      <c r="L362" s="204" t="s">
        <v>2964</v>
      </c>
      <c r="M362" s="205" t="s">
        <v>4374</v>
      </c>
      <c r="N362" s="310" t="s">
        <v>2752</v>
      </c>
      <c r="O362" s="302" t="s">
        <v>256</v>
      </c>
      <c r="P362" s="302"/>
      <c r="Q362" s="302"/>
      <c r="R362" s="302"/>
      <c r="S362" s="302"/>
      <c r="T362" s="302" t="s">
        <v>256</v>
      </c>
      <c r="U362" s="302"/>
      <c r="V362" s="302" t="s">
        <v>256</v>
      </c>
      <c r="W362" s="302"/>
      <c r="X362" s="177" t="s">
        <v>2959</v>
      </c>
    </row>
    <row r="363" spans="1:24" ht="16.95" customHeight="1">
      <c r="A363" s="210" t="s">
        <v>2250</v>
      </c>
      <c r="B363" s="304">
        <v>5</v>
      </c>
      <c r="C363" s="304" t="s">
        <v>2450</v>
      </c>
      <c r="D363" s="304"/>
      <c r="E363" s="304"/>
      <c r="F363" s="211" t="s">
        <v>2438</v>
      </c>
      <c r="G363" s="210" t="s">
        <v>2471</v>
      </c>
      <c r="H363" s="304" t="s">
        <v>2498</v>
      </c>
      <c r="I363" s="304" t="s">
        <v>2500</v>
      </c>
      <c r="J363" s="304" t="s">
        <v>2960</v>
      </c>
      <c r="K363" s="210" t="s">
        <v>3285</v>
      </c>
      <c r="L363" s="212" t="s">
        <v>2444</v>
      </c>
      <c r="M363" s="213" t="s">
        <v>4375</v>
      </c>
      <c r="N363" s="312" t="s">
        <v>2750</v>
      </c>
      <c r="O363" s="304" t="s">
        <v>256</v>
      </c>
      <c r="P363" s="304"/>
      <c r="Q363" s="304"/>
      <c r="R363" s="304"/>
      <c r="S363" s="304"/>
      <c r="T363" s="304"/>
      <c r="U363" s="304" t="s">
        <v>256</v>
      </c>
      <c r="V363" s="304" t="s">
        <v>256</v>
      </c>
      <c r="W363" s="304"/>
      <c r="X363" s="177" t="s">
        <v>2959</v>
      </c>
    </row>
    <row r="364" spans="1:24" ht="16.95" customHeight="1">
      <c r="A364" s="194" t="s">
        <v>2241</v>
      </c>
      <c r="B364" s="300">
        <v>5</v>
      </c>
      <c r="C364" s="300" t="s">
        <v>2437</v>
      </c>
      <c r="D364" s="300"/>
      <c r="E364" s="300" t="s">
        <v>256</v>
      </c>
      <c r="F364" s="195" t="s">
        <v>5971</v>
      </c>
      <c r="G364" s="194" t="s">
        <v>2461</v>
      </c>
      <c r="H364" s="300" t="s">
        <v>2498</v>
      </c>
      <c r="I364" s="300" t="s">
        <v>2500</v>
      </c>
      <c r="J364" s="300"/>
      <c r="K364" s="194"/>
      <c r="L364" s="196" t="s">
        <v>2964</v>
      </c>
      <c r="M364" s="197" t="s">
        <v>4376</v>
      </c>
      <c r="N364" s="308" t="s">
        <v>2729</v>
      </c>
      <c r="O364" s="300"/>
      <c r="P364" s="300"/>
      <c r="Q364" s="300"/>
      <c r="R364" s="300"/>
      <c r="S364" s="300"/>
      <c r="T364" s="300" t="s">
        <v>256</v>
      </c>
      <c r="U364" s="300" t="s">
        <v>256</v>
      </c>
      <c r="V364" s="300" t="s">
        <v>256</v>
      </c>
      <c r="W364" s="300"/>
      <c r="X364" s="177" t="s">
        <v>2963</v>
      </c>
    </row>
    <row r="365" spans="1:24" ht="16.95" customHeight="1">
      <c r="A365" s="182" t="s">
        <v>2243</v>
      </c>
      <c r="B365" s="297">
        <v>5</v>
      </c>
      <c r="C365" s="297" t="s">
        <v>2443</v>
      </c>
      <c r="D365" s="297"/>
      <c r="E365" s="297" t="s">
        <v>256</v>
      </c>
      <c r="F365" s="183" t="s">
        <v>5971</v>
      </c>
      <c r="G365" s="182" t="s">
        <v>2475</v>
      </c>
      <c r="H365" s="297" t="s">
        <v>2498</v>
      </c>
      <c r="I365" s="297"/>
      <c r="J365" s="297"/>
      <c r="K365" s="182"/>
      <c r="L365" s="184" t="s">
        <v>2964</v>
      </c>
      <c r="M365" s="185" t="s">
        <v>4377</v>
      </c>
      <c r="N365" s="305" t="s">
        <v>2730</v>
      </c>
      <c r="O365" s="297"/>
      <c r="P365" s="297"/>
      <c r="Q365" s="297"/>
      <c r="R365" s="297"/>
      <c r="S365" s="297"/>
      <c r="T365" s="297" t="s">
        <v>256</v>
      </c>
      <c r="U365" s="297" t="s">
        <v>256</v>
      </c>
      <c r="V365" s="297" t="s">
        <v>256</v>
      </c>
      <c r="W365" s="297"/>
      <c r="X365" s="177" t="s">
        <v>2963</v>
      </c>
    </row>
    <row r="366" spans="1:24" ht="16.95" customHeight="1">
      <c r="A366" s="190" t="s">
        <v>2254</v>
      </c>
      <c r="B366" s="299">
        <v>5</v>
      </c>
      <c r="C366" s="299" t="s">
        <v>2429</v>
      </c>
      <c r="D366" s="299"/>
      <c r="E366" s="299"/>
      <c r="F366" s="191" t="s">
        <v>5971</v>
      </c>
      <c r="G366" s="190" t="s">
        <v>2461</v>
      </c>
      <c r="H366" s="299" t="s">
        <v>2498</v>
      </c>
      <c r="I366" s="299" t="s">
        <v>2500</v>
      </c>
      <c r="J366" s="299" t="s">
        <v>2960</v>
      </c>
      <c r="K366" s="190" t="s">
        <v>3286</v>
      </c>
      <c r="L366" s="192" t="s">
        <v>2465</v>
      </c>
      <c r="M366" s="193" t="s">
        <v>4378</v>
      </c>
      <c r="N366" s="307" t="s">
        <v>2772</v>
      </c>
      <c r="O366" s="299"/>
      <c r="P366" s="299" t="s">
        <v>256</v>
      </c>
      <c r="Q366" s="299"/>
      <c r="R366" s="299"/>
      <c r="S366" s="299"/>
      <c r="T366" s="299"/>
      <c r="U366" s="299"/>
      <c r="V366" s="299"/>
      <c r="W366" s="299"/>
      <c r="X366" s="177" t="s">
        <v>2959</v>
      </c>
    </row>
    <row r="367" spans="1:24" ht="16.95" customHeight="1">
      <c r="A367" s="202" t="s">
        <v>2149</v>
      </c>
      <c r="B367" s="302">
        <v>5</v>
      </c>
      <c r="C367" s="302" t="s">
        <v>2967</v>
      </c>
      <c r="D367" s="302"/>
      <c r="E367" s="302"/>
      <c r="F367" s="203" t="s">
        <v>2438</v>
      </c>
      <c r="G367" s="202" t="s">
        <v>2461</v>
      </c>
      <c r="H367" s="302" t="s">
        <v>2498</v>
      </c>
      <c r="I367" s="302"/>
      <c r="J367" s="302"/>
      <c r="K367" s="202"/>
      <c r="L367" s="204" t="s">
        <v>2456</v>
      </c>
      <c r="M367" s="205" t="s">
        <v>4379</v>
      </c>
      <c r="N367" s="310" t="s">
        <v>2758</v>
      </c>
      <c r="O367" s="302" t="s">
        <v>256</v>
      </c>
      <c r="P367" s="302" t="s">
        <v>256</v>
      </c>
      <c r="Q367" s="302" t="s">
        <v>256</v>
      </c>
      <c r="R367" s="302" t="s">
        <v>256</v>
      </c>
      <c r="S367" s="302"/>
      <c r="T367" s="302"/>
      <c r="U367" s="302"/>
      <c r="V367" s="302" t="s">
        <v>256</v>
      </c>
      <c r="W367" s="302"/>
      <c r="X367" s="177" t="s">
        <v>2959</v>
      </c>
    </row>
    <row r="368" spans="1:24" ht="16.95" customHeight="1">
      <c r="A368" s="186" t="s">
        <v>2237</v>
      </c>
      <c r="B368" s="298">
        <v>5</v>
      </c>
      <c r="C368" s="298" t="s">
        <v>2433</v>
      </c>
      <c r="D368" s="298"/>
      <c r="E368" s="298"/>
      <c r="F368" s="187" t="s">
        <v>5971</v>
      </c>
      <c r="G368" s="186" t="s">
        <v>2467</v>
      </c>
      <c r="H368" s="298" t="s">
        <v>2498</v>
      </c>
      <c r="I368" s="298" t="s">
        <v>2500</v>
      </c>
      <c r="J368" s="298" t="s">
        <v>2960</v>
      </c>
      <c r="K368" s="186" t="s">
        <v>3287</v>
      </c>
      <c r="L368" s="188" t="s">
        <v>2465</v>
      </c>
      <c r="M368" s="189" t="s">
        <v>4380</v>
      </c>
      <c r="N368" s="306" t="s">
        <v>2760</v>
      </c>
      <c r="O368" s="298" t="s">
        <v>256</v>
      </c>
      <c r="P368" s="298" t="s">
        <v>256</v>
      </c>
      <c r="Q368" s="298" t="s">
        <v>256</v>
      </c>
      <c r="R368" s="298"/>
      <c r="S368" s="298" t="s">
        <v>3078</v>
      </c>
      <c r="T368" s="298"/>
      <c r="U368" s="298"/>
      <c r="V368" s="298"/>
      <c r="W368" s="298" t="s">
        <v>256</v>
      </c>
      <c r="X368" s="177" t="s">
        <v>2959</v>
      </c>
    </row>
    <row r="369" spans="1:24" ht="16.95" customHeight="1">
      <c r="A369" s="190" t="s">
        <v>2257</v>
      </c>
      <c r="B369" s="299">
        <v>5</v>
      </c>
      <c r="C369" s="299" t="s">
        <v>2429</v>
      </c>
      <c r="D369" s="299"/>
      <c r="E369" s="299"/>
      <c r="F369" s="191" t="s">
        <v>2448</v>
      </c>
      <c r="G369" s="190" t="s">
        <v>2467</v>
      </c>
      <c r="H369" s="299" t="s">
        <v>2498</v>
      </c>
      <c r="I369" s="299" t="s">
        <v>2500</v>
      </c>
      <c r="J369" s="299" t="s">
        <v>2960</v>
      </c>
      <c r="K369" s="190" t="s">
        <v>3288</v>
      </c>
      <c r="L369" s="192" t="s">
        <v>2612</v>
      </c>
      <c r="M369" s="193" t="s">
        <v>4381</v>
      </c>
      <c r="N369" s="307" t="s">
        <v>2773</v>
      </c>
      <c r="O369" s="299"/>
      <c r="P369" s="299" t="s">
        <v>256</v>
      </c>
      <c r="Q369" s="299"/>
      <c r="R369" s="299"/>
      <c r="S369" s="299"/>
      <c r="T369" s="299"/>
      <c r="U369" s="299"/>
      <c r="V369" s="299"/>
      <c r="W369" s="299"/>
      <c r="X369" s="177" t="s">
        <v>2959</v>
      </c>
    </row>
    <row r="370" spans="1:24" ht="16.95" customHeight="1">
      <c r="A370" s="202" t="s">
        <v>2252</v>
      </c>
      <c r="B370" s="302">
        <v>5</v>
      </c>
      <c r="C370" s="302" t="s">
        <v>2967</v>
      </c>
      <c r="D370" s="302"/>
      <c r="E370" s="302" t="s">
        <v>256</v>
      </c>
      <c r="F370" s="203" t="s">
        <v>5971</v>
      </c>
      <c r="G370" s="202" t="s">
        <v>2463</v>
      </c>
      <c r="H370" s="302" t="s">
        <v>2498</v>
      </c>
      <c r="I370" s="302" t="s">
        <v>2500</v>
      </c>
      <c r="J370" s="302" t="s">
        <v>2960</v>
      </c>
      <c r="K370" s="202" t="s">
        <v>3082</v>
      </c>
      <c r="L370" s="204" t="s">
        <v>2964</v>
      </c>
      <c r="M370" s="205" t="s">
        <v>4382</v>
      </c>
      <c r="N370" s="310" t="s">
        <v>2751</v>
      </c>
      <c r="O370" s="302" t="s">
        <v>256</v>
      </c>
      <c r="P370" s="302"/>
      <c r="Q370" s="302"/>
      <c r="R370" s="302"/>
      <c r="S370" s="302"/>
      <c r="T370" s="302" t="s">
        <v>256</v>
      </c>
      <c r="U370" s="302" t="s">
        <v>256</v>
      </c>
      <c r="V370" s="302" t="s">
        <v>256</v>
      </c>
      <c r="W370" s="302"/>
      <c r="X370" s="177" t="s">
        <v>2959</v>
      </c>
    </row>
    <row r="371" spans="1:24" ht="16.95" customHeight="1">
      <c r="A371" s="190" t="s">
        <v>2169</v>
      </c>
      <c r="B371" s="299">
        <v>5</v>
      </c>
      <c r="C371" s="299" t="s">
        <v>2429</v>
      </c>
      <c r="D371" s="299"/>
      <c r="E371" s="299" t="s">
        <v>256</v>
      </c>
      <c r="F371" s="191" t="s">
        <v>6007</v>
      </c>
      <c r="G371" s="190" t="s">
        <v>2467</v>
      </c>
      <c r="H371" s="299" t="s">
        <v>2498</v>
      </c>
      <c r="I371" s="299" t="s">
        <v>2500</v>
      </c>
      <c r="J371" s="299"/>
      <c r="K371" s="190"/>
      <c r="L371" s="192" t="s">
        <v>3013</v>
      </c>
      <c r="M371" s="193" t="s">
        <v>4383</v>
      </c>
      <c r="N371" s="307" t="s">
        <v>2735</v>
      </c>
      <c r="O371" s="299"/>
      <c r="P371" s="299" t="s">
        <v>256</v>
      </c>
      <c r="Q371" s="299"/>
      <c r="R371" s="299" t="s">
        <v>256</v>
      </c>
      <c r="S371" s="299"/>
      <c r="T371" s="299"/>
      <c r="U371" s="299"/>
      <c r="V371" s="299"/>
      <c r="W371" s="299"/>
      <c r="X371" s="177" t="s">
        <v>2963</v>
      </c>
    </row>
    <row r="372" spans="1:24" ht="16.95" customHeight="1">
      <c r="A372" s="190" t="s">
        <v>2369</v>
      </c>
      <c r="B372" s="299">
        <v>5</v>
      </c>
      <c r="C372" s="299" t="s">
        <v>2429</v>
      </c>
      <c r="D372" s="299"/>
      <c r="E372" s="299" t="s">
        <v>256</v>
      </c>
      <c r="F372" s="191" t="s">
        <v>5971</v>
      </c>
      <c r="G372" s="190" t="s">
        <v>2463</v>
      </c>
      <c r="H372" s="299" t="s">
        <v>2498</v>
      </c>
      <c r="I372" s="299"/>
      <c r="J372" s="299"/>
      <c r="K372" s="190"/>
      <c r="L372" s="192" t="s">
        <v>2964</v>
      </c>
      <c r="M372" s="193" t="s">
        <v>4384</v>
      </c>
      <c r="N372" s="307" t="s">
        <v>2732</v>
      </c>
      <c r="O372" s="299"/>
      <c r="P372" s="299"/>
      <c r="Q372" s="299"/>
      <c r="R372" s="299"/>
      <c r="S372" s="299"/>
      <c r="T372" s="299" t="s">
        <v>256</v>
      </c>
      <c r="U372" s="299"/>
      <c r="V372" s="299" t="s">
        <v>256</v>
      </c>
      <c r="W372" s="299"/>
      <c r="X372" s="177" t="s">
        <v>2963</v>
      </c>
    </row>
    <row r="373" spans="1:24" ht="16.95" customHeight="1">
      <c r="A373" s="182" t="s">
        <v>2258</v>
      </c>
      <c r="B373" s="297">
        <v>5</v>
      </c>
      <c r="C373" s="297" t="s">
        <v>2443</v>
      </c>
      <c r="D373" s="297"/>
      <c r="E373" s="297" t="s">
        <v>256</v>
      </c>
      <c r="F373" s="183" t="s">
        <v>2438</v>
      </c>
      <c r="G373" s="182" t="s">
        <v>2463</v>
      </c>
      <c r="H373" s="297" t="s">
        <v>2498</v>
      </c>
      <c r="I373" s="297" t="s">
        <v>2500</v>
      </c>
      <c r="J373" s="297" t="s">
        <v>2960</v>
      </c>
      <c r="K373" s="182" t="s">
        <v>3289</v>
      </c>
      <c r="L373" s="184" t="s">
        <v>3013</v>
      </c>
      <c r="M373" s="185" t="s">
        <v>4385</v>
      </c>
      <c r="N373" s="305" t="s">
        <v>2738</v>
      </c>
      <c r="O373" s="297"/>
      <c r="P373" s="297"/>
      <c r="Q373" s="297"/>
      <c r="R373" s="297"/>
      <c r="S373" s="297"/>
      <c r="T373" s="297"/>
      <c r="U373" s="297" t="s">
        <v>256</v>
      </c>
      <c r="V373" s="297" t="s">
        <v>256</v>
      </c>
      <c r="W373" s="297"/>
      <c r="X373" s="177" t="s">
        <v>2963</v>
      </c>
    </row>
    <row r="374" spans="1:24" ht="16.95" customHeight="1">
      <c r="A374" s="182" t="s">
        <v>2248</v>
      </c>
      <c r="B374" s="297">
        <v>5</v>
      </c>
      <c r="C374" s="297" t="s">
        <v>2443</v>
      </c>
      <c r="D374" s="297"/>
      <c r="E374" s="297" t="s">
        <v>256</v>
      </c>
      <c r="F374" s="183" t="s">
        <v>5971</v>
      </c>
      <c r="G374" s="182" t="s">
        <v>2449</v>
      </c>
      <c r="H374" s="297" t="s">
        <v>2498</v>
      </c>
      <c r="I374" s="297" t="s">
        <v>2500</v>
      </c>
      <c r="J374" s="297" t="s">
        <v>2960</v>
      </c>
      <c r="K374" s="182" t="s">
        <v>3290</v>
      </c>
      <c r="L374" s="184" t="s">
        <v>2998</v>
      </c>
      <c r="M374" s="185" t="s">
        <v>4386</v>
      </c>
      <c r="N374" s="305" t="s">
        <v>2769</v>
      </c>
      <c r="O374" s="297"/>
      <c r="P374" s="297" t="s">
        <v>256</v>
      </c>
      <c r="Q374" s="297" t="s">
        <v>256</v>
      </c>
      <c r="R374" s="297"/>
      <c r="S374" s="297"/>
      <c r="T374" s="297" t="s">
        <v>256</v>
      </c>
      <c r="U374" s="297"/>
      <c r="V374" s="297"/>
      <c r="W374" s="297"/>
      <c r="X374" s="177" t="s">
        <v>2959</v>
      </c>
    </row>
    <row r="375" spans="1:24" ht="16.95" customHeight="1">
      <c r="A375" s="206" t="s">
        <v>2228</v>
      </c>
      <c r="B375" s="303">
        <v>5</v>
      </c>
      <c r="C375" s="303" t="s">
        <v>2440</v>
      </c>
      <c r="D375" s="303"/>
      <c r="E375" s="303"/>
      <c r="F375" s="207" t="s">
        <v>2428</v>
      </c>
      <c r="G375" s="206" t="s">
        <v>2475</v>
      </c>
      <c r="H375" s="303" t="s">
        <v>2498</v>
      </c>
      <c r="I375" s="303" t="s">
        <v>2500</v>
      </c>
      <c r="J375" s="303" t="s">
        <v>2960</v>
      </c>
      <c r="K375" s="206" t="s">
        <v>3291</v>
      </c>
      <c r="L375" s="208" t="s">
        <v>2465</v>
      </c>
      <c r="M375" s="209" t="s">
        <v>4387</v>
      </c>
      <c r="N375" s="311" t="s">
        <v>2756</v>
      </c>
      <c r="O375" s="303" t="s">
        <v>256</v>
      </c>
      <c r="P375" s="303" t="s">
        <v>256</v>
      </c>
      <c r="Q375" s="303"/>
      <c r="R375" s="303"/>
      <c r="S375" s="303"/>
      <c r="T375" s="303"/>
      <c r="U375" s="303"/>
      <c r="V375" s="303" t="s">
        <v>256</v>
      </c>
      <c r="W375" s="303"/>
      <c r="X375" s="177" t="s">
        <v>2959</v>
      </c>
    </row>
    <row r="376" spans="1:24" ht="16.95" customHeight="1">
      <c r="A376" s="190" t="s">
        <v>2354</v>
      </c>
      <c r="B376" s="299">
        <v>5</v>
      </c>
      <c r="C376" s="299" t="s">
        <v>2429</v>
      </c>
      <c r="D376" s="299"/>
      <c r="E376" s="299" t="s">
        <v>256</v>
      </c>
      <c r="F376" s="191" t="s">
        <v>5971</v>
      </c>
      <c r="G376" s="190" t="s">
        <v>2435</v>
      </c>
      <c r="H376" s="299" t="s">
        <v>2498</v>
      </c>
      <c r="I376" s="299" t="s">
        <v>2500</v>
      </c>
      <c r="J376" s="299" t="s">
        <v>2960</v>
      </c>
      <c r="K376" s="190" t="s">
        <v>3292</v>
      </c>
      <c r="L376" s="192" t="s">
        <v>2964</v>
      </c>
      <c r="M376" s="193" t="s">
        <v>4388</v>
      </c>
      <c r="N376" s="307" t="s">
        <v>3293</v>
      </c>
      <c r="O376" s="299"/>
      <c r="P376" s="299"/>
      <c r="Q376" s="299" t="s">
        <v>256</v>
      </c>
      <c r="R376" s="299"/>
      <c r="S376" s="299"/>
      <c r="T376" s="299"/>
      <c r="U376" s="299"/>
      <c r="V376" s="299"/>
      <c r="W376" s="299"/>
      <c r="X376" s="177" t="s">
        <v>2963</v>
      </c>
    </row>
    <row r="377" spans="1:24" ht="16.95" customHeight="1">
      <c r="A377" s="190" t="s">
        <v>2239</v>
      </c>
      <c r="B377" s="299">
        <v>5</v>
      </c>
      <c r="C377" s="299" t="s">
        <v>2429</v>
      </c>
      <c r="D377" s="299"/>
      <c r="E377" s="299"/>
      <c r="F377" s="191" t="s">
        <v>5971</v>
      </c>
      <c r="G377" s="190" t="s">
        <v>2461</v>
      </c>
      <c r="H377" s="299" t="s">
        <v>2498</v>
      </c>
      <c r="I377" s="299" t="s">
        <v>2500</v>
      </c>
      <c r="J377" s="299"/>
      <c r="K377" s="190"/>
      <c r="L377" s="192" t="s">
        <v>2465</v>
      </c>
      <c r="M377" s="193" t="s">
        <v>4389</v>
      </c>
      <c r="N377" s="307" t="s">
        <v>2761</v>
      </c>
      <c r="O377" s="299" t="s">
        <v>256</v>
      </c>
      <c r="P377" s="299" t="s">
        <v>256</v>
      </c>
      <c r="Q377" s="299" t="s">
        <v>256</v>
      </c>
      <c r="R377" s="299"/>
      <c r="S377" s="299"/>
      <c r="T377" s="299"/>
      <c r="U377" s="299"/>
      <c r="V377" s="299"/>
      <c r="W377" s="299"/>
      <c r="X377" s="177" t="s">
        <v>2959</v>
      </c>
    </row>
    <row r="378" spans="1:24" ht="16.95" customHeight="1">
      <c r="A378" s="210" t="s">
        <v>2306</v>
      </c>
      <c r="B378" s="304">
        <v>5</v>
      </c>
      <c r="C378" s="304" t="s">
        <v>2450</v>
      </c>
      <c r="D378" s="304"/>
      <c r="E378" s="304" t="s">
        <v>256</v>
      </c>
      <c r="F378" s="211" t="s">
        <v>5971</v>
      </c>
      <c r="G378" s="210" t="s">
        <v>2475</v>
      </c>
      <c r="H378" s="304"/>
      <c r="I378" s="304" t="s">
        <v>2500</v>
      </c>
      <c r="J378" s="304"/>
      <c r="K378" s="210"/>
      <c r="L378" s="212" t="s">
        <v>3013</v>
      </c>
      <c r="M378" s="213" t="s">
        <v>4390</v>
      </c>
      <c r="N378" s="312" t="s">
        <v>2762</v>
      </c>
      <c r="O378" s="304" t="s">
        <v>256</v>
      </c>
      <c r="P378" s="304"/>
      <c r="Q378" s="304"/>
      <c r="R378" s="304"/>
      <c r="S378" s="304"/>
      <c r="T378" s="304"/>
      <c r="U378" s="304" t="s">
        <v>3078</v>
      </c>
      <c r="V378" s="304" t="s">
        <v>3078</v>
      </c>
      <c r="W378" s="304"/>
      <c r="X378" s="177" t="s">
        <v>2959</v>
      </c>
    </row>
    <row r="379" spans="1:24" ht="16.95" customHeight="1">
      <c r="A379" s="202" t="s">
        <v>2310</v>
      </c>
      <c r="B379" s="302">
        <v>5</v>
      </c>
      <c r="C379" s="302" t="s">
        <v>2967</v>
      </c>
      <c r="D379" s="302"/>
      <c r="E379" s="302" t="s">
        <v>256</v>
      </c>
      <c r="F379" s="203" t="s">
        <v>5971</v>
      </c>
      <c r="G379" s="202" t="s">
        <v>2452</v>
      </c>
      <c r="H379" s="302" t="s">
        <v>2498</v>
      </c>
      <c r="I379" s="302" t="s">
        <v>2500</v>
      </c>
      <c r="J379" s="302"/>
      <c r="K379" s="202"/>
      <c r="L379" s="204" t="s">
        <v>2964</v>
      </c>
      <c r="M379" s="205" t="s">
        <v>4391</v>
      </c>
      <c r="N379" s="310" t="s">
        <v>2763</v>
      </c>
      <c r="O379" s="302" t="s">
        <v>256</v>
      </c>
      <c r="P379" s="302"/>
      <c r="Q379" s="302"/>
      <c r="R379" s="302"/>
      <c r="S379" s="302"/>
      <c r="T379" s="302"/>
      <c r="U379" s="302"/>
      <c r="V379" s="302" t="s">
        <v>256</v>
      </c>
      <c r="W379" s="302"/>
      <c r="X379" s="177" t="s">
        <v>2959</v>
      </c>
    </row>
    <row r="380" spans="1:24" ht="16.95" customHeight="1">
      <c r="A380" s="194" t="s">
        <v>2261</v>
      </c>
      <c r="B380" s="300">
        <v>5</v>
      </c>
      <c r="C380" s="300" t="s">
        <v>2437</v>
      </c>
      <c r="D380" s="300"/>
      <c r="E380" s="300"/>
      <c r="F380" s="195" t="s">
        <v>5971</v>
      </c>
      <c r="G380" s="194" t="s">
        <v>2461</v>
      </c>
      <c r="H380" s="300" t="s">
        <v>2498</v>
      </c>
      <c r="I380" s="300"/>
      <c r="J380" s="300" t="s">
        <v>2960</v>
      </c>
      <c r="K380" s="194" t="s">
        <v>3294</v>
      </c>
      <c r="L380" s="196" t="s">
        <v>2465</v>
      </c>
      <c r="M380" s="197" t="s">
        <v>4392</v>
      </c>
      <c r="N380" s="308" t="s">
        <v>2739</v>
      </c>
      <c r="O380" s="300"/>
      <c r="P380" s="300"/>
      <c r="Q380" s="300"/>
      <c r="R380" s="300"/>
      <c r="S380" s="300"/>
      <c r="T380" s="300"/>
      <c r="U380" s="300" t="s">
        <v>256</v>
      </c>
      <c r="V380" s="300" t="s">
        <v>256</v>
      </c>
      <c r="W380" s="300"/>
      <c r="X380" s="177" t="s">
        <v>2963</v>
      </c>
    </row>
    <row r="381" spans="1:24" ht="16.95" customHeight="1">
      <c r="A381" s="198" t="s">
        <v>2400</v>
      </c>
      <c r="B381" s="301">
        <v>5</v>
      </c>
      <c r="C381" s="301" t="s">
        <v>2425</v>
      </c>
      <c r="D381" s="301"/>
      <c r="E381" s="301"/>
      <c r="F381" s="199" t="s">
        <v>5971</v>
      </c>
      <c r="G381" s="198" t="s">
        <v>2452</v>
      </c>
      <c r="H381" s="301" t="s">
        <v>2498</v>
      </c>
      <c r="I381" s="301" t="s">
        <v>2500</v>
      </c>
      <c r="J381" s="301" t="s">
        <v>2960</v>
      </c>
      <c r="K381" s="198" t="s">
        <v>3295</v>
      </c>
      <c r="L381" s="200" t="s">
        <v>2434</v>
      </c>
      <c r="M381" s="201" t="s">
        <v>4393</v>
      </c>
      <c r="N381" s="309" t="s">
        <v>2774</v>
      </c>
      <c r="O381" s="301"/>
      <c r="P381" s="301"/>
      <c r="Q381" s="301"/>
      <c r="R381" s="301"/>
      <c r="S381" s="301"/>
      <c r="T381" s="301"/>
      <c r="U381" s="301"/>
      <c r="V381" s="301" t="s">
        <v>256</v>
      </c>
      <c r="W381" s="301"/>
      <c r="X381" s="177" t="s">
        <v>2959</v>
      </c>
    </row>
    <row r="382" spans="1:24" ht="16.95" customHeight="1">
      <c r="A382" s="186" t="s">
        <v>2234</v>
      </c>
      <c r="B382" s="298">
        <v>5</v>
      </c>
      <c r="C382" s="298" t="s">
        <v>2433</v>
      </c>
      <c r="D382" s="298"/>
      <c r="E382" s="298"/>
      <c r="F382" s="187" t="s">
        <v>2434</v>
      </c>
      <c r="G382" s="186" t="s">
        <v>2461</v>
      </c>
      <c r="H382" s="298" t="s">
        <v>2498</v>
      </c>
      <c r="I382" s="298" t="s">
        <v>2500</v>
      </c>
      <c r="J382" s="298" t="s">
        <v>2960</v>
      </c>
      <c r="K382" s="186" t="s">
        <v>3296</v>
      </c>
      <c r="L382" s="188" t="s">
        <v>2448</v>
      </c>
      <c r="M382" s="189" t="s">
        <v>4394</v>
      </c>
      <c r="N382" s="306" t="s">
        <v>2759</v>
      </c>
      <c r="O382" s="298" t="s">
        <v>256</v>
      </c>
      <c r="P382" s="298" t="s">
        <v>256</v>
      </c>
      <c r="Q382" s="298" t="s">
        <v>256</v>
      </c>
      <c r="R382" s="298"/>
      <c r="S382" s="298"/>
      <c r="T382" s="298"/>
      <c r="U382" s="298" t="s">
        <v>3078</v>
      </c>
      <c r="V382" s="298" t="s">
        <v>256</v>
      </c>
      <c r="W382" s="298"/>
      <c r="X382" s="177" t="s">
        <v>2959</v>
      </c>
    </row>
    <row r="383" spans="1:24" ht="16.95" customHeight="1">
      <c r="A383" s="194" t="s">
        <v>2145</v>
      </c>
      <c r="B383" s="300">
        <v>5</v>
      </c>
      <c r="C383" s="300" t="s">
        <v>2437</v>
      </c>
      <c r="D383" s="300"/>
      <c r="E383" s="300"/>
      <c r="F383" s="195" t="s">
        <v>2434</v>
      </c>
      <c r="G383" s="194" t="s">
        <v>2467</v>
      </c>
      <c r="H383" s="300" t="s">
        <v>2498</v>
      </c>
      <c r="I383" s="300" t="s">
        <v>2500</v>
      </c>
      <c r="J383" s="300" t="s">
        <v>2960</v>
      </c>
      <c r="K383" s="194" t="s">
        <v>3297</v>
      </c>
      <c r="L383" s="196" t="s">
        <v>2465</v>
      </c>
      <c r="M383" s="197" t="s">
        <v>4395</v>
      </c>
      <c r="N383" s="308" t="s">
        <v>2755</v>
      </c>
      <c r="O383" s="300" t="s">
        <v>256</v>
      </c>
      <c r="P383" s="300" t="s">
        <v>256</v>
      </c>
      <c r="Q383" s="300"/>
      <c r="R383" s="300" t="s">
        <v>256</v>
      </c>
      <c r="S383" s="300"/>
      <c r="T383" s="300"/>
      <c r="U383" s="300"/>
      <c r="V383" s="300"/>
      <c r="W383" s="300"/>
      <c r="X383" s="177" t="s">
        <v>2959</v>
      </c>
    </row>
    <row r="384" spans="1:24" ht="16.95" customHeight="1">
      <c r="A384" s="206" t="s">
        <v>2401</v>
      </c>
      <c r="B384" s="303">
        <v>5</v>
      </c>
      <c r="C384" s="303" t="s">
        <v>4553</v>
      </c>
      <c r="D384" s="303" t="s">
        <v>256</v>
      </c>
      <c r="E384" s="303"/>
      <c r="F384" s="207" t="s">
        <v>5971</v>
      </c>
      <c r="G384" s="206" t="s">
        <v>2452</v>
      </c>
      <c r="H384" s="303" t="s">
        <v>2498</v>
      </c>
      <c r="I384" s="303" t="s">
        <v>2500</v>
      </c>
      <c r="J384" s="303" t="s">
        <v>2960</v>
      </c>
      <c r="K384" s="206" t="s">
        <v>3298</v>
      </c>
      <c r="L384" s="208" t="s">
        <v>2434</v>
      </c>
      <c r="M384" s="209" t="s">
        <v>4396</v>
      </c>
      <c r="N384" s="311" t="s">
        <v>3299</v>
      </c>
      <c r="O384" s="303" t="s">
        <v>3078</v>
      </c>
      <c r="P384" s="303"/>
      <c r="Q384" s="303"/>
      <c r="R384" s="303"/>
      <c r="S384" s="303"/>
      <c r="T384" s="303"/>
      <c r="U384" s="303"/>
      <c r="V384" s="303" t="s">
        <v>256</v>
      </c>
      <c r="W384" s="303"/>
      <c r="X384" s="177" t="s">
        <v>2959</v>
      </c>
    </row>
    <row r="385" spans="1:24" ht="16.95" customHeight="1">
      <c r="A385" s="198" t="s">
        <v>2360</v>
      </c>
      <c r="B385" s="301">
        <v>5</v>
      </c>
      <c r="C385" s="301" t="s">
        <v>2425</v>
      </c>
      <c r="D385" s="301"/>
      <c r="E385" s="301"/>
      <c r="F385" s="199" t="s">
        <v>2434</v>
      </c>
      <c r="G385" s="198" t="s">
        <v>2467</v>
      </c>
      <c r="H385" s="301" t="s">
        <v>2498</v>
      </c>
      <c r="I385" s="301" t="s">
        <v>2500</v>
      </c>
      <c r="J385" s="301" t="s">
        <v>2960</v>
      </c>
      <c r="K385" s="198" t="s">
        <v>3300</v>
      </c>
      <c r="L385" s="200" t="s">
        <v>2465</v>
      </c>
      <c r="M385" s="201" t="s">
        <v>4397</v>
      </c>
      <c r="N385" s="309" t="s">
        <v>2781</v>
      </c>
      <c r="O385" s="301"/>
      <c r="P385" s="301"/>
      <c r="Q385" s="301" t="s">
        <v>256</v>
      </c>
      <c r="R385" s="301"/>
      <c r="S385" s="301"/>
      <c r="T385" s="301"/>
      <c r="U385" s="301"/>
      <c r="V385" s="301"/>
      <c r="W385" s="301"/>
      <c r="X385" s="177" t="s">
        <v>2959</v>
      </c>
    </row>
    <row r="386" spans="1:24" ht="16.95" customHeight="1">
      <c r="A386" s="206" t="s">
        <v>2231</v>
      </c>
      <c r="B386" s="303">
        <v>5</v>
      </c>
      <c r="C386" s="303" t="s">
        <v>2440</v>
      </c>
      <c r="D386" s="303"/>
      <c r="E386" s="303" t="s">
        <v>256</v>
      </c>
      <c r="F386" s="207" t="s">
        <v>2428</v>
      </c>
      <c r="G386" s="206" t="s">
        <v>2475</v>
      </c>
      <c r="H386" s="303" t="s">
        <v>2498</v>
      </c>
      <c r="I386" s="303" t="s">
        <v>2500</v>
      </c>
      <c r="J386" s="303" t="s">
        <v>2960</v>
      </c>
      <c r="K386" s="206" t="s">
        <v>3301</v>
      </c>
      <c r="L386" s="208" t="s">
        <v>2998</v>
      </c>
      <c r="M386" s="209" t="s">
        <v>4398</v>
      </c>
      <c r="N386" s="311" t="s">
        <v>2757</v>
      </c>
      <c r="O386" s="303" t="s">
        <v>256</v>
      </c>
      <c r="P386" s="303" t="s">
        <v>256</v>
      </c>
      <c r="Q386" s="303" t="s">
        <v>256</v>
      </c>
      <c r="R386" s="303"/>
      <c r="S386" s="303"/>
      <c r="T386" s="303"/>
      <c r="U386" s="303" t="s">
        <v>256</v>
      </c>
      <c r="V386" s="303" t="s">
        <v>256</v>
      </c>
      <c r="W386" s="303"/>
      <c r="X386" s="177" t="s">
        <v>2959</v>
      </c>
    </row>
    <row r="387" spans="1:24" ht="16.95" customHeight="1">
      <c r="A387" s="210" t="s">
        <v>2288</v>
      </c>
      <c r="B387" s="304">
        <v>5</v>
      </c>
      <c r="C387" s="304" t="s">
        <v>2450</v>
      </c>
      <c r="D387" s="304"/>
      <c r="E387" s="304"/>
      <c r="F387" s="211" t="s">
        <v>5971</v>
      </c>
      <c r="G387" s="210" t="s">
        <v>2452</v>
      </c>
      <c r="H387" s="304" t="s">
        <v>2498</v>
      </c>
      <c r="I387" s="304" t="s">
        <v>2500</v>
      </c>
      <c r="J387" s="304"/>
      <c r="K387" s="210"/>
      <c r="L387" s="212" t="s">
        <v>2444</v>
      </c>
      <c r="M387" s="213" t="s">
        <v>4399</v>
      </c>
      <c r="N387" s="312" t="s">
        <v>2753</v>
      </c>
      <c r="O387" s="304" t="s">
        <v>256</v>
      </c>
      <c r="P387" s="304"/>
      <c r="Q387" s="304"/>
      <c r="R387" s="304"/>
      <c r="S387" s="304"/>
      <c r="T387" s="304" t="s">
        <v>256</v>
      </c>
      <c r="U387" s="304"/>
      <c r="V387" s="304" t="s">
        <v>256</v>
      </c>
      <c r="W387" s="304"/>
      <c r="X387" s="177" t="s">
        <v>2959</v>
      </c>
    </row>
    <row r="388" spans="1:24" ht="16.95" customHeight="1">
      <c r="A388" s="198" t="s">
        <v>2277</v>
      </c>
      <c r="B388" s="301">
        <v>5</v>
      </c>
      <c r="C388" s="301" t="s">
        <v>2425</v>
      </c>
      <c r="D388" s="301"/>
      <c r="E388" s="301" t="s">
        <v>256</v>
      </c>
      <c r="F388" s="199" t="s">
        <v>5971</v>
      </c>
      <c r="G388" s="198" t="s">
        <v>2467</v>
      </c>
      <c r="H388" s="301" t="s">
        <v>2498</v>
      </c>
      <c r="I388" s="301" t="s">
        <v>2500</v>
      </c>
      <c r="J388" s="301"/>
      <c r="K388" s="198"/>
      <c r="L388" s="200" t="s">
        <v>3013</v>
      </c>
      <c r="M388" s="201" t="s">
        <v>4400</v>
      </c>
      <c r="N388" s="309" t="s">
        <v>2734</v>
      </c>
      <c r="O388" s="301" t="s">
        <v>256</v>
      </c>
      <c r="P388" s="301"/>
      <c r="Q388" s="301"/>
      <c r="R388" s="301"/>
      <c r="S388" s="301"/>
      <c r="T388" s="301" t="s">
        <v>256</v>
      </c>
      <c r="U388" s="301"/>
      <c r="V388" s="301" t="s">
        <v>256</v>
      </c>
      <c r="W388" s="301" t="s">
        <v>256</v>
      </c>
      <c r="X388" s="177" t="s">
        <v>2963</v>
      </c>
    </row>
    <row r="389" spans="1:24" ht="16.95" customHeight="1">
      <c r="A389" s="182" t="s">
        <v>2189</v>
      </c>
      <c r="B389" s="297">
        <v>5</v>
      </c>
      <c r="C389" s="297" t="s">
        <v>2443</v>
      </c>
      <c r="D389" s="297"/>
      <c r="E389" s="297"/>
      <c r="F389" s="183" t="s">
        <v>5971</v>
      </c>
      <c r="G389" s="182" t="s">
        <v>2452</v>
      </c>
      <c r="H389" s="297"/>
      <c r="I389" s="297" t="s">
        <v>2500</v>
      </c>
      <c r="J389" s="297" t="s">
        <v>2960</v>
      </c>
      <c r="K389" s="182" t="s">
        <v>3302</v>
      </c>
      <c r="L389" s="184" t="s">
        <v>2465</v>
      </c>
      <c r="M389" s="185" t="s">
        <v>4401</v>
      </c>
      <c r="N389" s="305" t="s">
        <v>2728</v>
      </c>
      <c r="O389" s="297"/>
      <c r="P389" s="297"/>
      <c r="Q389" s="297"/>
      <c r="R389" s="297"/>
      <c r="S389" s="297" t="s">
        <v>256</v>
      </c>
      <c r="T389" s="297"/>
      <c r="U389" s="297"/>
      <c r="V389" s="297" t="s">
        <v>256</v>
      </c>
      <c r="W389" s="297"/>
      <c r="X389" s="177" t="s">
        <v>2963</v>
      </c>
    </row>
    <row r="390" spans="1:24" ht="16.95" customHeight="1">
      <c r="A390" s="182" t="s">
        <v>5937</v>
      </c>
      <c r="B390" s="297">
        <v>5</v>
      </c>
      <c r="C390" s="297" t="s">
        <v>2443</v>
      </c>
      <c r="D390" s="297"/>
      <c r="E390" s="297" t="s">
        <v>256</v>
      </c>
      <c r="F390" s="183" t="s">
        <v>5971</v>
      </c>
      <c r="G390" s="182" t="s">
        <v>2463</v>
      </c>
      <c r="H390" s="297" t="s">
        <v>2498</v>
      </c>
      <c r="I390" s="297" t="s">
        <v>2500</v>
      </c>
      <c r="J390" s="297" t="s">
        <v>2960</v>
      </c>
      <c r="K390" s="182" t="s">
        <v>3303</v>
      </c>
      <c r="L390" s="184" t="s">
        <v>3013</v>
      </c>
      <c r="M390" s="185" t="s">
        <v>4402</v>
      </c>
      <c r="N390" s="305" t="s">
        <v>2936</v>
      </c>
      <c r="O390" s="297"/>
      <c r="P390" s="297" t="s">
        <v>256</v>
      </c>
      <c r="Q390" s="297"/>
      <c r="R390" s="297" t="s">
        <v>256</v>
      </c>
      <c r="S390" s="297"/>
      <c r="T390" s="297"/>
      <c r="U390" s="297"/>
      <c r="V390" s="297"/>
      <c r="W390" s="297"/>
      <c r="X390" s="177" t="s">
        <v>2974</v>
      </c>
    </row>
    <row r="391" spans="1:24" ht="16.95" customHeight="1">
      <c r="A391" s="198" t="s">
        <v>2193</v>
      </c>
      <c r="B391" s="301">
        <v>5</v>
      </c>
      <c r="C391" s="301" t="s">
        <v>2425</v>
      </c>
      <c r="D391" s="301"/>
      <c r="E391" s="301" t="s">
        <v>256</v>
      </c>
      <c r="F391" s="199" t="s">
        <v>6007</v>
      </c>
      <c r="G391" s="198" t="s">
        <v>2467</v>
      </c>
      <c r="H391" s="301" t="s">
        <v>2498</v>
      </c>
      <c r="I391" s="301" t="s">
        <v>2500</v>
      </c>
      <c r="J391" s="301" t="s">
        <v>2960</v>
      </c>
      <c r="K391" s="198" t="s">
        <v>3304</v>
      </c>
      <c r="L391" s="200" t="s">
        <v>2964</v>
      </c>
      <c r="M391" s="201" t="s">
        <v>4403</v>
      </c>
      <c r="N391" s="309" t="s">
        <v>2744</v>
      </c>
      <c r="O391" s="301"/>
      <c r="P391" s="301"/>
      <c r="Q391" s="301"/>
      <c r="R391" s="301"/>
      <c r="S391" s="301" t="s">
        <v>256</v>
      </c>
      <c r="T391" s="301"/>
      <c r="U391" s="301"/>
      <c r="V391" s="301"/>
      <c r="W391" s="301"/>
      <c r="X391" s="177" t="s">
        <v>2959</v>
      </c>
    </row>
    <row r="392" spans="1:24" ht="16.95" customHeight="1">
      <c r="A392" s="202" t="s">
        <v>2247</v>
      </c>
      <c r="B392" s="302">
        <v>5</v>
      </c>
      <c r="C392" s="302" t="s">
        <v>2967</v>
      </c>
      <c r="D392" s="302"/>
      <c r="E392" s="302"/>
      <c r="F392" s="203" t="s">
        <v>5971</v>
      </c>
      <c r="G392" s="202" t="s">
        <v>2435</v>
      </c>
      <c r="H392" s="302" t="s">
        <v>2498</v>
      </c>
      <c r="I392" s="302" t="s">
        <v>2500</v>
      </c>
      <c r="J392" s="302"/>
      <c r="K392" s="202"/>
      <c r="L392" s="204" t="s">
        <v>2465</v>
      </c>
      <c r="M392" s="205" t="s">
        <v>4404</v>
      </c>
      <c r="N392" s="310" t="s">
        <v>2733</v>
      </c>
      <c r="O392" s="302" t="s">
        <v>256</v>
      </c>
      <c r="P392" s="302"/>
      <c r="Q392" s="302"/>
      <c r="R392" s="302"/>
      <c r="S392" s="302"/>
      <c r="T392" s="302" t="s">
        <v>256</v>
      </c>
      <c r="U392" s="302" t="s">
        <v>256</v>
      </c>
      <c r="V392" s="302" t="s">
        <v>256</v>
      </c>
      <c r="W392" s="302"/>
      <c r="X392" s="177" t="s">
        <v>2963</v>
      </c>
    </row>
    <row r="393" spans="1:24" ht="16.95" customHeight="1">
      <c r="A393" s="198" t="s">
        <v>2376</v>
      </c>
      <c r="B393" s="301">
        <v>5</v>
      </c>
      <c r="C393" s="301" t="s">
        <v>2425</v>
      </c>
      <c r="D393" s="301"/>
      <c r="E393" s="301" t="s">
        <v>256</v>
      </c>
      <c r="F393" s="199" t="s">
        <v>5971</v>
      </c>
      <c r="G393" s="198" t="s">
        <v>2461</v>
      </c>
      <c r="H393" s="301" t="s">
        <v>2498</v>
      </c>
      <c r="I393" s="301" t="s">
        <v>2500</v>
      </c>
      <c r="J393" s="301"/>
      <c r="K393" s="198"/>
      <c r="L393" s="200" t="s">
        <v>2998</v>
      </c>
      <c r="M393" s="201" t="s">
        <v>4405</v>
      </c>
      <c r="N393" s="309" t="s">
        <v>2749</v>
      </c>
      <c r="O393" s="301"/>
      <c r="P393" s="301"/>
      <c r="Q393" s="301"/>
      <c r="R393" s="301"/>
      <c r="S393" s="301"/>
      <c r="T393" s="301" t="s">
        <v>256</v>
      </c>
      <c r="U393" s="301"/>
      <c r="V393" s="301" t="s">
        <v>256</v>
      </c>
      <c r="W393" s="301"/>
      <c r="X393" s="177" t="s">
        <v>2959</v>
      </c>
    </row>
    <row r="394" spans="1:24" ht="16.95" customHeight="1">
      <c r="A394" s="182" t="s">
        <v>2291</v>
      </c>
      <c r="B394" s="297">
        <v>5</v>
      </c>
      <c r="C394" s="297" t="s">
        <v>2443</v>
      </c>
      <c r="D394" s="297"/>
      <c r="E394" s="297"/>
      <c r="F394" s="183" t="s">
        <v>2438</v>
      </c>
      <c r="G394" s="182" t="s">
        <v>2431</v>
      </c>
      <c r="H394" s="297" t="s">
        <v>2498</v>
      </c>
      <c r="I394" s="297"/>
      <c r="J394" s="297" t="s">
        <v>2960</v>
      </c>
      <c r="K394" s="182" t="s">
        <v>3305</v>
      </c>
      <c r="L394" s="184" t="s">
        <v>2442</v>
      </c>
      <c r="M394" s="185" t="s">
        <v>4406</v>
      </c>
      <c r="N394" s="305" t="s">
        <v>2754</v>
      </c>
      <c r="O394" s="297" t="s">
        <v>256</v>
      </c>
      <c r="P394" s="297"/>
      <c r="Q394" s="297"/>
      <c r="R394" s="297"/>
      <c r="S394" s="297"/>
      <c r="T394" s="297" t="s">
        <v>256</v>
      </c>
      <c r="U394" s="297" t="s">
        <v>3078</v>
      </c>
      <c r="V394" s="297" t="s">
        <v>256</v>
      </c>
      <c r="W394" s="297"/>
      <c r="X394" s="177" t="s">
        <v>2959</v>
      </c>
    </row>
    <row r="395" spans="1:24" ht="16.95" customHeight="1">
      <c r="A395" s="198" t="s">
        <v>3306</v>
      </c>
      <c r="B395" s="301">
        <v>5</v>
      </c>
      <c r="C395" s="301" t="s">
        <v>2425</v>
      </c>
      <c r="D395" s="301"/>
      <c r="E395" s="301"/>
      <c r="F395" s="199" t="s">
        <v>6064</v>
      </c>
      <c r="G395" s="198" t="s">
        <v>2435</v>
      </c>
      <c r="H395" s="301" t="s">
        <v>2498</v>
      </c>
      <c r="I395" s="301" t="s">
        <v>2500</v>
      </c>
      <c r="J395" s="301"/>
      <c r="K395" s="198"/>
      <c r="L395" s="200" t="s">
        <v>2442</v>
      </c>
      <c r="M395" s="201" t="s">
        <v>4407</v>
      </c>
      <c r="N395" s="309" t="s">
        <v>3307</v>
      </c>
      <c r="O395" s="301"/>
      <c r="P395" s="301"/>
      <c r="Q395" s="301"/>
      <c r="R395" s="301"/>
      <c r="S395" s="301"/>
      <c r="T395" s="301"/>
      <c r="U395" s="301"/>
      <c r="V395" s="301" t="s">
        <v>256</v>
      </c>
      <c r="W395" s="301"/>
      <c r="X395" s="177" t="s">
        <v>2979</v>
      </c>
    </row>
    <row r="396" spans="1:24" ht="16.95" customHeight="1">
      <c r="A396" s="198" t="s">
        <v>2353</v>
      </c>
      <c r="B396" s="301">
        <v>5</v>
      </c>
      <c r="C396" s="301" t="s">
        <v>2425</v>
      </c>
      <c r="D396" s="301"/>
      <c r="E396" s="301"/>
      <c r="F396" s="199" t="s">
        <v>5971</v>
      </c>
      <c r="G396" s="198" t="s">
        <v>2435</v>
      </c>
      <c r="H396" s="301" t="s">
        <v>2498</v>
      </c>
      <c r="I396" s="301" t="s">
        <v>2500</v>
      </c>
      <c r="J396" s="301" t="s">
        <v>2960</v>
      </c>
      <c r="K396" s="198" t="s">
        <v>3308</v>
      </c>
      <c r="L396" s="200" t="s">
        <v>2612</v>
      </c>
      <c r="M396" s="201" t="s">
        <v>4408</v>
      </c>
      <c r="N396" s="309" t="s">
        <v>2742</v>
      </c>
      <c r="O396" s="301"/>
      <c r="P396" s="301"/>
      <c r="Q396" s="301" t="s">
        <v>256</v>
      </c>
      <c r="R396" s="301"/>
      <c r="S396" s="301"/>
      <c r="T396" s="301"/>
      <c r="U396" s="301"/>
      <c r="V396" s="301" t="s">
        <v>256</v>
      </c>
      <c r="W396" s="301" t="s">
        <v>256</v>
      </c>
      <c r="X396" s="177" t="s">
        <v>2963</v>
      </c>
    </row>
    <row r="397" spans="1:24" ht="16.95" customHeight="1">
      <c r="A397" s="182" t="s">
        <v>2200</v>
      </c>
      <c r="B397" s="297">
        <v>5</v>
      </c>
      <c r="C397" s="297" t="s">
        <v>2443</v>
      </c>
      <c r="D397" s="297"/>
      <c r="E397" s="297" t="s">
        <v>256</v>
      </c>
      <c r="F397" s="183" t="s">
        <v>5971</v>
      </c>
      <c r="G397" s="182" t="s">
        <v>2475</v>
      </c>
      <c r="H397" s="297" t="s">
        <v>2498</v>
      </c>
      <c r="I397" s="297" t="s">
        <v>2500</v>
      </c>
      <c r="J397" s="297"/>
      <c r="K397" s="182"/>
      <c r="L397" s="184" t="s">
        <v>2964</v>
      </c>
      <c r="M397" s="185" t="s">
        <v>4409</v>
      </c>
      <c r="N397" s="305" t="s">
        <v>2777</v>
      </c>
      <c r="O397" s="297"/>
      <c r="P397" s="297"/>
      <c r="Q397" s="297" t="s">
        <v>256</v>
      </c>
      <c r="R397" s="297"/>
      <c r="S397" s="297" t="s">
        <v>256</v>
      </c>
      <c r="T397" s="297"/>
      <c r="U397" s="297"/>
      <c r="V397" s="297"/>
      <c r="W397" s="297"/>
      <c r="X397" s="177" t="s">
        <v>2959</v>
      </c>
    </row>
    <row r="398" spans="1:24" ht="16.95" customHeight="1">
      <c r="A398" s="190" t="s">
        <v>2402</v>
      </c>
      <c r="B398" s="299">
        <v>5</v>
      </c>
      <c r="C398" s="299" t="s">
        <v>2429</v>
      </c>
      <c r="D398" s="299"/>
      <c r="E398" s="299" t="s">
        <v>256</v>
      </c>
      <c r="F398" s="191" t="s">
        <v>5971</v>
      </c>
      <c r="G398" s="190" t="s">
        <v>2435</v>
      </c>
      <c r="H398" s="299" t="s">
        <v>2498</v>
      </c>
      <c r="I398" s="299" t="s">
        <v>2500</v>
      </c>
      <c r="J398" s="299" t="s">
        <v>2960</v>
      </c>
      <c r="K398" s="190" t="s">
        <v>3309</v>
      </c>
      <c r="L398" s="192" t="s">
        <v>2998</v>
      </c>
      <c r="M398" s="193" t="s">
        <v>4545</v>
      </c>
      <c r="N398" s="307" t="s">
        <v>2775</v>
      </c>
      <c r="O398" s="299"/>
      <c r="P398" s="299"/>
      <c r="Q398" s="299"/>
      <c r="R398" s="299"/>
      <c r="S398" s="299"/>
      <c r="T398" s="299"/>
      <c r="U398" s="299"/>
      <c r="V398" s="299" t="s">
        <v>256</v>
      </c>
      <c r="W398" s="299"/>
      <c r="X398" s="177" t="s">
        <v>2959</v>
      </c>
    </row>
    <row r="399" spans="1:24" ht="16.95" customHeight="1">
      <c r="A399" s="190" t="s">
        <v>3310</v>
      </c>
      <c r="B399" s="299">
        <v>5</v>
      </c>
      <c r="C399" s="299" t="s">
        <v>2429</v>
      </c>
      <c r="D399" s="299"/>
      <c r="E399" s="299" t="s">
        <v>256</v>
      </c>
      <c r="F399" s="191" t="s">
        <v>5971</v>
      </c>
      <c r="G399" s="190" t="s">
        <v>2435</v>
      </c>
      <c r="H399" s="299" t="s">
        <v>2498</v>
      </c>
      <c r="I399" s="299" t="s">
        <v>2500</v>
      </c>
      <c r="J399" s="299" t="s">
        <v>2960</v>
      </c>
      <c r="K399" s="190" t="s">
        <v>3311</v>
      </c>
      <c r="L399" s="192" t="s">
        <v>2998</v>
      </c>
      <c r="M399" s="193" t="s">
        <v>4410</v>
      </c>
      <c r="N399" s="307" t="s">
        <v>2731</v>
      </c>
      <c r="O399" s="299"/>
      <c r="P399" s="299"/>
      <c r="Q399" s="299"/>
      <c r="R399" s="299"/>
      <c r="S399" s="299"/>
      <c r="T399" s="299" t="s">
        <v>256</v>
      </c>
      <c r="U399" s="299" t="s">
        <v>256</v>
      </c>
      <c r="V399" s="299" t="s">
        <v>256</v>
      </c>
      <c r="W399" s="299"/>
      <c r="X399" s="177" t="s">
        <v>2963</v>
      </c>
    </row>
    <row r="400" spans="1:24" ht="16.95" customHeight="1">
      <c r="A400" s="190" t="s">
        <v>2356</v>
      </c>
      <c r="B400" s="299">
        <v>5</v>
      </c>
      <c r="C400" s="299" t="s">
        <v>2429</v>
      </c>
      <c r="D400" s="299"/>
      <c r="E400" s="299" t="s">
        <v>256</v>
      </c>
      <c r="F400" s="191" t="s">
        <v>5971</v>
      </c>
      <c r="G400" s="190" t="s">
        <v>2435</v>
      </c>
      <c r="H400" s="299" t="s">
        <v>2498</v>
      </c>
      <c r="I400" s="299" t="s">
        <v>2500</v>
      </c>
      <c r="J400" s="299" t="s">
        <v>2960</v>
      </c>
      <c r="K400" s="190" t="s">
        <v>3312</v>
      </c>
      <c r="L400" s="192" t="s">
        <v>2998</v>
      </c>
      <c r="M400" s="193" t="s">
        <v>4546</v>
      </c>
      <c r="N400" s="307" t="s">
        <v>2778</v>
      </c>
      <c r="O400" s="299"/>
      <c r="P400" s="299"/>
      <c r="Q400" s="299" t="s">
        <v>256</v>
      </c>
      <c r="R400" s="299"/>
      <c r="S400" s="299"/>
      <c r="T400" s="299" t="s">
        <v>256</v>
      </c>
      <c r="U400" s="299"/>
      <c r="V400" s="299" t="s">
        <v>256</v>
      </c>
      <c r="W400" s="299" t="s">
        <v>256</v>
      </c>
      <c r="X400" s="177" t="s">
        <v>2959</v>
      </c>
    </row>
    <row r="401" spans="1:24" ht="16.95" customHeight="1">
      <c r="A401" s="190" t="s">
        <v>2196</v>
      </c>
      <c r="B401" s="299">
        <v>5</v>
      </c>
      <c r="C401" s="299" t="s">
        <v>2429</v>
      </c>
      <c r="D401" s="299"/>
      <c r="E401" s="299" t="s">
        <v>256</v>
      </c>
      <c r="F401" s="191" t="s">
        <v>5971</v>
      </c>
      <c r="G401" s="190" t="s">
        <v>2435</v>
      </c>
      <c r="H401" s="299" t="s">
        <v>2498</v>
      </c>
      <c r="I401" s="299" t="s">
        <v>2500</v>
      </c>
      <c r="J401" s="299"/>
      <c r="K401" s="190"/>
      <c r="L401" s="192" t="s">
        <v>2964</v>
      </c>
      <c r="M401" s="193" t="s">
        <v>4411</v>
      </c>
      <c r="N401" s="307" t="s">
        <v>2740</v>
      </c>
      <c r="O401" s="299"/>
      <c r="P401" s="299"/>
      <c r="Q401" s="299" t="s">
        <v>256</v>
      </c>
      <c r="R401" s="299"/>
      <c r="S401" s="299" t="s">
        <v>256</v>
      </c>
      <c r="T401" s="299"/>
      <c r="U401" s="299"/>
      <c r="V401" s="299"/>
      <c r="W401" s="299"/>
      <c r="X401" s="177" t="s">
        <v>2963</v>
      </c>
    </row>
    <row r="402" spans="1:24" ht="16.95" customHeight="1">
      <c r="A402" s="182" t="s">
        <v>3313</v>
      </c>
      <c r="B402" s="297">
        <v>5</v>
      </c>
      <c r="C402" s="297" t="s">
        <v>2443</v>
      </c>
      <c r="D402" s="297"/>
      <c r="E402" s="297" t="s">
        <v>256</v>
      </c>
      <c r="F402" s="183" t="s">
        <v>5971</v>
      </c>
      <c r="G402" s="182" t="s">
        <v>2461</v>
      </c>
      <c r="H402" s="297" t="s">
        <v>2498</v>
      </c>
      <c r="I402" s="297" t="s">
        <v>2500</v>
      </c>
      <c r="J402" s="297" t="s">
        <v>2960</v>
      </c>
      <c r="K402" s="182" t="s">
        <v>3314</v>
      </c>
      <c r="L402" s="184" t="s">
        <v>3013</v>
      </c>
      <c r="M402" s="185" t="s">
        <v>4412</v>
      </c>
      <c r="N402" s="305" t="s">
        <v>3315</v>
      </c>
      <c r="O402" s="297"/>
      <c r="P402" s="297"/>
      <c r="Q402" s="297" t="s">
        <v>256</v>
      </c>
      <c r="R402" s="297"/>
      <c r="S402" s="297"/>
      <c r="T402" s="297" t="s">
        <v>256</v>
      </c>
      <c r="U402" s="297"/>
      <c r="V402" s="297" t="s">
        <v>256</v>
      </c>
      <c r="W402" s="297"/>
      <c r="X402" s="385" t="s">
        <v>3123</v>
      </c>
    </row>
    <row r="403" spans="1:24" ht="16.95" customHeight="1">
      <c r="A403" s="182" t="s">
        <v>3316</v>
      </c>
      <c r="B403" s="297">
        <v>5</v>
      </c>
      <c r="C403" s="297" t="s">
        <v>3317</v>
      </c>
      <c r="D403" s="297"/>
      <c r="E403" s="297"/>
      <c r="F403" s="183" t="s">
        <v>5971</v>
      </c>
      <c r="G403" s="182" t="s">
        <v>3145</v>
      </c>
      <c r="H403" s="297" t="s">
        <v>2498</v>
      </c>
      <c r="I403" s="297" t="s">
        <v>2500</v>
      </c>
      <c r="J403" s="297" t="s">
        <v>2960</v>
      </c>
      <c r="K403" s="182" t="s">
        <v>3318</v>
      </c>
      <c r="L403" s="184" t="s">
        <v>3159</v>
      </c>
      <c r="M403" s="185" t="s">
        <v>4413</v>
      </c>
      <c r="N403" s="305" t="s">
        <v>3319</v>
      </c>
      <c r="O403" s="297"/>
      <c r="P403" s="297"/>
      <c r="Q403" s="297"/>
      <c r="R403" s="297"/>
      <c r="S403" s="297"/>
      <c r="T403" s="297"/>
      <c r="U403" s="297"/>
      <c r="V403" s="297" t="s">
        <v>256</v>
      </c>
      <c r="W403" s="297" t="s">
        <v>256</v>
      </c>
      <c r="X403" s="385" t="s">
        <v>3142</v>
      </c>
    </row>
    <row r="404" spans="1:24" ht="16.95" customHeight="1">
      <c r="A404" s="182" t="s">
        <v>2274</v>
      </c>
      <c r="B404" s="297">
        <v>6</v>
      </c>
      <c r="C404" s="297" t="s">
        <v>2443</v>
      </c>
      <c r="D404" s="297"/>
      <c r="E404" s="297" t="s">
        <v>256</v>
      </c>
      <c r="F404" s="183" t="s">
        <v>5971</v>
      </c>
      <c r="G404" s="182" t="s">
        <v>2454</v>
      </c>
      <c r="H404" s="297" t="s">
        <v>2498</v>
      </c>
      <c r="I404" s="297" t="s">
        <v>2500</v>
      </c>
      <c r="J404" s="297"/>
      <c r="K404" s="182"/>
      <c r="L404" s="184" t="s">
        <v>2998</v>
      </c>
      <c r="M404" s="185" t="s">
        <v>4414</v>
      </c>
      <c r="N404" s="305" t="s">
        <v>2795</v>
      </c>
      <c r="O404" s="297"/>
      <c r="P404" s="297"/>
      <c r="Q404" s="297"/>
      <c r="R404" s="297"/>
      <c r="S404" s="297"/>
      <c r="T404" s="297" t="s">
        <v>256</v>
      </c>
      <c r="U404" s="297" t="s">
        <v>256</v>
      </c>
      <c r="V404" s="297" t="s">
        <v>256</v>
      </c>
      <c r="W404" s="297"/>
      <c r="X404" s="177" t="s">
        <v>2959</v>
      </c>
    </row>
    <row r="405" spans="1:24" ht="16.95" customHeight="1">
      <c r="A405" s="190" t="s">
        <v>2273</v>
      </c>
      <c r="B405" s="299">
        <v>6</v>
      </c>
      <c r="C405" s="299" t="s">
        <v>2429</v>
      </c>
      <c r="D405" s="299"/>
      <c r="E405" s="299" t="s">
        <v>256</v>
      </c>
      <c r="F405" s="191" t="s">
        <v>5971</v>
      </c>
      <c r="G405" s="190" t="s">
        <v>2463</v>
      </c>
      <c r="H405" s="299" t="s">
        <v>2498</v>
      </c>
      <c r="I405" s="299" t="s">
        <v>2500</v>
      </c>
      <c r="J405" s="299"/>
      <c r="K405" s="190"/>
      <c r="L405" s="192" t="s">
        <v>2998</v>
      </c>
      <c r="M405" s="193" t="s">
        <v>4415</v>
      </c>
      <c r="N405" s="307" t="s">
        <v>2807</v>
      </c>
      <c r="O405" s="299"/>
      <c r="P405" s="299" t="s">
        <v>256</v>
      </c>
      <c r="Q405" s="299"/>
      <c r="R405" s="299"/>
      <c r="S405" s="299"/>
      <c r="T405" s="299"/>
      <c r="U405" s="299"/>
      <c r="V405" s="299"/>
      <c r="W405" s="299"/>
      <c r="X405" s="177" t="s">
        <v>2959</v>
      </c>
    </row>
    <row r="406" spans="1:24" ht="16.95" customHeight="1">
      <c r="A406" s="198" t="s">
        <v>2362</v>
      </c>
      <c r="B406" s="301">
        <v>6</v>
      </c>
      <c r="C406" s="301" t="s">
        <v>2425</v>
      </c>
      <c r="D406" s="301"/>
      <c r="E406" s="301"/>
      <c r="F406" s="199" t="s">
        <v>5971</v>
      </c>
      <c r="G406" s="198" t="s">
        <v>2435</v>
      </c>
      <c r="H406" s="301" t="s">
        <v>2498</v>
      </c>
      <c r="I406" s="301" t="s">
        <v>2500</v>
      </c>
      <c r="J406" s="301"/>
      <c r="K406" s="198"/>
      <c r="L406" s="200" t="s">
        <v>2465</v>
      </c>
      <c r="M406" s="201" t="s">
        <v>4416</v>
      </c>
      <c r="N406" s="309" t="s">
        <v>2791</v>
      </c>
      <c r="O406" s="301"/>
      <c r="P406" s="301"/>
      <c r="Q406" s="301" t="s">
        <v>256</v>
      </c>
      <c r="R406" s="301"/>
      <c r="S406" s="301"/>
      <c r="T406" s="301"/>
      <c r="U406" s="301"/>
      <c r="V406" s="301"/>
      <c r="W406" s="301"/>
      <c r="X406" s="177" t="s">
        <v>2963</v>
      </c>
    </row>
    <row r="407" spans="1:24" ht="16.95" customHeight="1">
      <c r="A407" s="190" t="s">
        <v>2383</v>
      </c>
      <c r="B407" s="299">
        <v>6</v>
      </c>
      <c r="C407" s="299" t="s">
        <v>2429</v>
      </c>
      <c r="D407" s="299"/>
      <c r="E407" s="299"/>
      <c r="F407" s="191" t="s">
        <v>5971</v>
      </c>
      <c r="G407" s="190" t="s">
        <v>2439</v>
      </c>
      <c r="H407" s="299" t="s">
        <v>2498</v>
      </c>
      <c r="I407" s="299" t="s">
        <v>2500</v>
      </c>
      <c r="J407" s="299" t="s">
        <v>2960</v>
      </c>
      <c r="K407" s="190" t="s">
        <v>3320</v>
      </c>
      <c r="L407" s="192" t="s">
        <v>2465</v>
      </c>
      <c r="M407" s="193" t="s">
        <v>4417</v>
      </c>
      <c r="N407" s="307" t="s">
        <v>2797</v>
      </c>
      <c r="O407" s="299"/>
      <c r="P407" s="299"/>
      <c r="Q407" s="299"/>
      <c r="R407" s="299"/>
      <c r="S407" s="299"/>
      <c r="T407" s="299" t="s">
        <v>256</v>
      </c>
      <c r="U407" s="299"/>
      <c r="V407" s="299" t="s">
        <v>256</v>
      </c>
      <c r="W407" s="299"/>
      <c r="X407" s="177" t="s">
        <v>2959</v>
      </c>
    </row>
    <row r="408" spans="1:24" ht="16.95" customHeight="1">
      <c r="A408" s="194" t="s">
        <v>2276</v>
      </c>
      <c r="B408" s="300">
        <v>6</v>
      </c>
      <c r="C408" s="300" t="s">
        <v>2437</v>
      </c>
      <c r="D408" s="300"/>
      <c r="E408" s="300"/>
      <c r="F408" s="195" t="s">
        <v>5971</v>
      </c>
      <c r="G408" s="194" t="s">
        <v>2439</v>
      </c>
      <c r="H408" s="300" t="s">
        <v>2498</v>
      </c>
      <c r="I408" s="300" t="s">
        <v>2500</v>
      </c>
      <c r="J408" s="300" t="s">
        <v>2960</v>
      </c>
      <c r="K408" s="194" t="s">
        <v>3321</v>
      </c>
      <c r="L408" s="196" t="s">
        <v>2465</v>
      </c>
      <c r="M408" s="197" t="s">
        <v>4418</v>
      </c>
      <c r="N408" s="308" t="s">
        <v>2796</v>
      </c>
      <c r="O408" s="300"/>
      <c r="P408" s="300"/>
      <c r="Q408" s="300"/>
      <c r="R408" s="300"/>
      <c r="S408" s="300"/>
      <c r="T408" s="300" t="s">
        <v>256</v>
      </c>
      <c r="U408" s="300" t="s">
        <v>256</v>
      </c>
      <c r="V408" s="300" t="s">
        <v>256</v>
      </c>
      <c r="W408" s="300"/>
      <c r="X408" s="177" t="s">
        <v>2959</v>
      </c>
    </row>
    <row r="409" spans="1:24" ht="16.95" customHeight="1">
      <c r="A409" s="182" t="s">
        <v>2303</v>
      </c>
      <c r="B409" s="297">
        <v>6</v>
      </c>
      <c r="C409" s="297" t="s">
        <v>2443</v>
      </c>
      <c r="D409" s="297"/>
      <c r="E409" s="297" t="s">
        <v>256</v>
      </c>
      <c r="F409" s="183" t="s">
        <v>2438</v>
      </c>
      <c r="G409" s="182" t="s">
        <v>2463</v>
      </c>
      <c r="H409" s="297" t="s">
        <v>2498</v>
      </c>
      <c r="I409" s="297" t="s">
        <v>2500</v>
      </c>
      <c r="J409" s="297"/>
      <c r="K409" s="182"/>
      <c r="L409" s="184" t="s">
        <v>3013</v>
      </c>
      <c r="M409" s="185" t="s">
        <v>4419</v>
      </c>
      <c r="N409" s="305" t="s">
        <v>2815</v>
      </c>
      <c r="O409" s="297"/>
      <c r="P409" s="297"/>
      <c r="Q409" s="297" t="s">
        <v>256</v>
      </c>
      <c r="R409" s="297"/>
      <c r="S409" s="297"/>
      <c r="T409" s="297"/>
      <c r="U409" s="297" t="s">
        <v>256</v>
      </c>
      <c r="V409" s="297"/>
      <c r="W409" s="297"/>
      <c r="X409" s="177" t="s">
        <v>2959</v>
      </c>
    </row>
    <row r="410" spans="1:24" ht="16.95" customHeight="1">
      <c r="A410" s="190" t="s">
        <v>2403</v>
      </c>
      <c r="B410" s="299">
        <v>6</v>
      </c>
      <c r="C410" s="299" t="s">
        <v>2429</v>
      </c>
      <c r="D410" s="299"/>
      <c r="E410" s="299"/>
      <c r="F410" s="191" t="s">
        <v>2428</v>
      </c>
      <c r="G410" s="190" t="s">
        <v>2475</v>
      </c>
      <c r="H410" s="299" t="s">
        <v>2498</v>
      </c>
      <c r="I410" s="299" t="s">
        <v>2500</v>
      </c>
      <c r="J410" s="299" t="s">
        <v>2960</v>
      </c>
      <c r="K410" s="190" t="s">
        <v>3322</v>
      </c>
      <c r="L410" s="192" t="s">
        <v>2432</v>
      </c>
      <c r="M410" s="193" t="s">
        <v>5948</v>
      </c>
      <c r="N410" s="307" t="s">
        <v>2812</v>
      </c>
      <c r="O410" s="299"/>
      <c r="P410" s="299"/>
      <c r="Q410" s="299"/>
      <c r="R410" s="299"/>
      <c r="S410" s="299"/>
      <c r="T410" s="299"/>
      <c r="U410" s="299"/>
      <c r="V410" s="299" t="s">
        <v>256</v>
      </c>
      <c r="W410" s="299"/>
      <c r="X410" s="177" t="s">
        <v>2959</v>
      </c>
    </row>
    <row r="411" spans="1:24" ht="16.95" customHeight="1">
      <c r="A411" s="198" t="s">
        <v>3323</v>
      </c>
      <c r="B411" s="301">
        <v>6</v>
      </c>
      <c r="C411" s="301" t="s">
        <v>2425</v>
      </c>
      <c r="D411" s="301"/>
      <c r="E411" s="301"/>
      <c r="F411" s="199" t="s">
        <v>2434</v>
      </c>
      <c r="G411" s="198" t="s">
        <v>2467</v>
      </c>
      <c r="H411" s="301" t="s">
        <v>2498</v>
      </c>
      <c r="I411" s="301" t="s">
        <v>2500</v>
      </c>
      <c r="J411" s="301" t="s">
        <v>2960</v>
      </c>
      <c r="K411" s="198" t="s">
        <v>3324</v>
      </c>
      <c r="L411" s="200" t="s">
        <v>2465</v>
      </c>
      <c r="M411" s="201" t="s">
        <v>4420</v>
      </c>
      <c r="N411" s="309" t="s">
        <v>2785</v>
      </c>
      <c r="O411" s="301"/>
      <c r="P411" s="301"/>
      <c r="Q411" s="301"/>
      <c r="R411" s="301"/>
      <c r="S411" s="301"/>
      <c r="T411" s="301"/>
      <c r="U411" s="301"/>
      <c r="V411" s="301" t="s">
        <v>256</v>
      </c>
      <c r="W411" s="301"/>
      <c r="X411" s="177" t="s">
        <v>2963</v>
      </c>
    </row>
    <row r="412" spans="1:24" ht="16.95" customHeight="1">
      <c r="A412" s="194" t="s">
        <v>2263</v>
      </c>
      <c r="B412" s="300">
        <v>6</v>
      </c>
      <c r="C412" s="300" t="s">
        <v>2437</v>
      </c>
      <c r="D412" s="300"/>
      <c r="E412" s="300"/>
      <c r="F412" s="195" t="s">
        <v>2438</v>
      </c>
      <c r="G412" s="194" t="s">
        <v>2431</v>
      </c>
      <c r="H412" s="300" t="s">
        <v>2498</v>
      </c>
      <c r="I412" s="300" t="s">
        <v>2500</v>
      </c>
      <c r="J412" s="300" t="s">
        <v>2960</v>
      </c>
      <c r="K412" s="194" t="s">
        <v>3325</v>
      </c>
      <c r="L412" s="196" t="s">
        <v>2465</v>
      </c>
      <c r="M412" s="197" t="s">
        <v>4421</v>
      </c>
      <c r="N412" s="308" t="s">
        <v>2805</v>
      </c>
      <c r="O412" s="300"/>
      <c r="P412" s="300" t="s">
        <v>256</v>
      </c>
      <c r="Q412" s="300"/>
      <c r="R412" s="300"/>
      <c r="S412" s="300"/>
      <c r="T412" s="300"/>
      <c r="U412" s="300" t="s">
        <v>256</v>
      </c>
      <c r="V412" s="300" t="s">
        <v>256</v>
      </c>
      <c r="W412" s="300"/>
      <c r="X412" s="177" t="s">
        <v>2959</v>
      </c>
    </row>
    <row r="413" spans="1:24" ht="16.95" customHeight="1">
      <c r="A413" s="198" t="s">
        <v>2384</v>
      </c>
      <c r="B413" s="301">
        <v>6</v>
      </c>
      <c r="C413" s="301" t="s">
        <v>2425</v>
      </c>
      <c r="D413" s="301"/>
      <c r="E413" s="301"/>
      <c r="F413" s="199" t="s">
        <v>5971</v>
      </c>
      <c r="G413" s="198" t="s">
        <v>2461</v>
      </c>
      <c r="H413" s="301" t="s">
        <v>2498</v>
      </c>
      <c r="I413" s="301" t="s">
        <v>2500</v>
      </c>
      <c r="J413" s="301" t="s">
        <v>2960</v>
      </c>
      <c r="K413" s="198" t="s">
        <v>3326</v>
      </c>
      <c r="L413" s="200" t="s">
        <v>2465</v>
      </c>
      <c r="M413" s="201" t="s">
        <v>4422</v>
      </c>
      <c r="N413" s="309" t="s">
        <v>2798</v>
      </c>
      <c r="O413" s="301"/>
      <c r="P413" s="301"/>
      <c r="Q413" s="301"/>
      <c r="R413" s="301"/>
      <c r="S413" s="301"/>
      <c r="T413" s="301" t="s">
        <v>256</v>
      </c>
      <c r="U413" s="301"/>
      <c r="V413" s="301" t="s">
        <v>256</v>
      </c>
      <c r="W413" s="301"/>
      <c r="X413" s="177" t="s">
        <v>2959</v>
      </c>
    </row>
    <row r="414" spans="1:24" ht="16.95" customHeight="1">
      <c r="A414" s="182" t="s">
        <v>2404</v>
      </c>
      <c r="B414" s="297">
        <v>6</v>
      </c>
      <c r="C414" s="297" t="s">
        <v>4554</v>
      </c>
      <c r="D414" s="297" t="s">
        <v>256</v>
      </c>
      <c r="E414" s="297"/>
      <c r="F414" s="183" t="s">
        <v>2438</v>
      </c>
      <c r="G414" s="182" t="s">
        <v>2467</v>
      </c>
      <c r="H414" s="297" t="s">
        <v>2498</v>
      </c>
      <c r="I414" s="297" t="s">
        <v>2500</v>
      </c>
      <c r="J414" s="297" t="s">
        <v>2960</v>
      </c>
      <c r="K414" s="182" t="s">
        <v>3327</v>
      </c>
      <c r="L414" s="184" t="s">
        <v>2612</v>
      </c>
      <c r="M414" s="185" t="s">
        <v>4423</v>
      </c>
      <c r="N414" s="305" t="s">
        <v>3328</v>
      </c>
      <c r="O414" s="297"/>
      <c r="P414" s="297"/>
      <c r="Q414" s="297"/>
      <c r="R414" s="297"/>
      <c r="S414" s="297"/>
      <c r="T414" s="297"/>
      <c r="U414" s="297"/>
      <c r="V414" s="297" t="s">
        <v>256</v>
      </c>
      <c r="W414" s="297"/>
      <c r="X414" s="177" t="s">
        <v>2959</v>
      </c>
    </row>
    <row r="415" spans="1:24" ht="16.95" customHeight="1">
      <c r="A415" s="186" t="s">
        <v>2363</v>
      </c>
      <c r="B415" s="298">
        <v>6</v>
      </c>
      <c r="C415" s="298" t="s">
        <v>2433</v>
      </c>
      <c r="D415" s="298"/>
      <c r="E415" s="298"/>
      <c r="F415" s="187" t="s">
        <v>2428</v>
      </c>
      <c r="G415" s="186" t="s">
        <v>2467</v>
      </c>
      <c r="H415" s="298" t="s">
        <v>2498</v>
      </c>
      <c r="I415" s="298" t="s">
        <v>2500</v>
      </c>
      <c r="J415" s="298" t="s">
        <v>2960</v>
      </c>
      <c r="K415" s="186" t="s">
        <v>3329</v>
      </c>
      <c r="L415" s="188" t="s">
        <v>2448</v>
      </c>
      <c r="M415" s="189" t="s">
        <v>4424</v>
      </c>
      <c r="N415" s="306" t="s">
        <v>2792</v>
      </c>
      <c r="O415" s="298"/>
      <c r="P415" s="298"/>
      <c r="Q415" s="298" t="s">
        <v>256</v>
      </c>
      <c r="R415" s="298"/>
      <c r="S415" s="298"/>
      <c r="T415" s="298"/>
      <c r="U415" s="298"/>
      <c r="V415" s="298"/>
      <c r="W415" s="298"/>
      <c r="X415" s="177" t="s">
        <v>2963</v>
      </c>
    </row>
    <row r="416" spans="1:24" ht="16.95" customHeight="1">
      <c r="A416" s="194" t="s">
        <v>2279</v>
      </c>
      <c r="B416" s="300">
        <v>6</v>
      </c>
      <c r="C416" s="300" t="s">
        <v>2437</v>
      </c>
      <c r="D416" s="300"/>
      <c r="E416" s="300" t="s">
        <v>256</v>
      </c>
      <c r="F416" s="195" t="s">
        <v>5971</v>
      </c>
      <c r="G416" s="194" t="s">
        <v>2475</v>
      </c>
      <c r="H416" s="300" t="s">
        <v>2498</v>
      </c>
      <c r="I416" s="300" t="s">
        <v>2500</v>
      </c>
      <c r="J416" s="300"/>
      <c r="K416" s="194"/>
      <c r="L416" s="196" t="s">
        <v>2964</v>
      </c>
      <c r="M416" s="197" t="s">
        <v>4425</v>
      </c>
      <c r="N416" s="308" t="s">
        <v>2800</v>
      </c>
      <c r="O416" s="300" t="s">
        <v>256</v>
      </c>
      <c r="P416" s="300"/>
      <c r="Q416" s="300"/>
      <c r="R416" s="300"/>
      <c r="S416" s="300"/>
      <c r="T416" s="300" t="s">
        <v>256</v>
      </c>
      <c r="U416" s="300"/>
      <c r="V416" s="300" t="s">
        <v>256</v>
      </c>
      <c r="W416" s="300"/>
      <c r="X416" s="177" t="s">
        <v>2959</v>
      </c>
    </row>
    <row r="417" spans="1:24" ht="16.95" customHeight="1">
      <c r="A417" s="206" t="s">
        <v>2262</v>
      </c>
      <c r="B417" s="303">
        <v>6</v>
      </c>
      <c r="C417" s="303" t="s">
        <v>2440</v>
      </c>
      <c r="D417" s="303"/>
      <c r="E417" s="303" t="s">
        <v>256</v>
      </c>
      <c r="F417" s="207" t="s">
        <v>2438</v>
      </c>
      <c r="G417" s="206" t="s">
        <v>2475</v>
      </c>
      <c r="H417" s="303" t="s">
        <v>2498</v>
      </c>
      <c r="I417" s="303" t="s">
        <v>2500</v>
      </c>
      <c r="J417" s="303" t="s">
        <v>2960</v>
      </c>
      <c r="K417" s="206" t="s">
        <v>3330</v>
      </c>
      <c r="L417" s="208" t="s">
        <v>3331</v>
      </c>
      <c r="M417" s="209" t="s">
        <v>4426</v>
      </c>
      <c r="N417" s="311" t="s">
        <v>3332</v>
      </c>
      <c r="O417" s="303" t="s">
        <v>256</v>
      </c>
      <c r="P417" s="303" t="s">
        <v>256</v>
      </c>
      <c r="Q417" s="303" t="s">
        <v>256</v>
      </c>
      <c r="R417" s="303"/>
      <c r="S417" s="303"/>
      <c r="T417" s="303"/>
      <c r="U417" s="303"/>
      <c r="V417" s="303"/>
      <c r="W417" s="303"/>
      <c r="X417" s="177" t="s">
        <v>2959</v>
      </c>
    </row>
    <row r="418" spans="1:24" ht="16.95" customHeight="1">
      <c r="A418" s="198" t="s">
        <v>2265</v>
      </c>
      <c r="B418" s="301">
        <v>6</v>
      </c>
      <c r="C418" s="301" t="s">
        <v>2425</v>
      </c>
      <c r="D418" s="301"/>
      <c r="E418" s="301" t="s">
        <v>256</v>
      </c>
      <c r="F418" s="199" t="s">
        <v>5971</v>
      </c>
      <c r="G418" s="198" t="s">
        <v>2461</v>
      </c>
      <c r="H418" s="301" t="s">
        <v>2498</v>
      </c>
      <c r="I418" s="301" t="s">
        <v>2500</v>
      </c>
      <c r="J418" s="301" t="s">
        <v>2960</v>
      </c>
      <c r="K418" s="198" t="s">
        <v>3333</v>
      </c>
      <c r="L418" s="200" t="s">
        <v>2964</v>
      </c>
      <c r="M418" s="201" t="s">
        <v>4427</v>
      </c>
      <c r="N418" s="309" t="s">
        <v>2794</v>
      </c>
      <c r="O418" s="301"/>
      <c r="P418" s="301"/>
      <c r="Q418" s="301" t="s">
        <v>3078</v>
      </c>
      <c r="R418" s="301"/>
      <c r="S418" s="301"/>
      <c r="T418" s="301" t="s">
        <v>3078</v>
      </c>
      <c r="U418" s="301" t="s">
        <v>256</v>
      </c>
      <c r="V418" s="301" t="s">
        <v>256</v>
      </c>
      <c r="W418" s="301"/>
      <c r="X418" s="177" t="s">
        <v>2959</v>
      </c>
    </row>
    <row r="419" spans="1:24" ht="16.95" customHeight="1">
      <c r="A419" s="186" t="s">
        <v>2275</v>
      </c>
      <c r="B419" s="298">
        <v>6</v>
      </c>
      <c r="C419" s="298" t="s">
        <v>4552</v>
      </c>
      <c r="D419" s="298" t="s">
        <v>256</v>
      </c>
      <c r="E419" s="298"/>
      <c r="F419" s="187" t="s">
        <v>2428</v>
      </c>
      <c r="G419" s="186" t="s">
        <v>2467</v>
      </c>
      <c r="H419" s="298" t="s">
        <v>2498</v>
      </c>
      <c r="I419" s="298" t="s">
        <v>2500</v>
      </c>
      <c r="J419" s="298" t="s">
        <v>2960</v>
      </c>
      <c r="K419" s="186" t="s">
        <v>3334</v>
      </c>
      <c r="L419" s="188" t="s">
        <v>2446</v>
      </c>
      <c r="M419" s="189" t="s">
        <v>4428</v>
      </c>
      <c r="N419" s="306" t="s">
        <v>2808</v>
      </c>
      <c r="O419" s="298"/>
      <c r="P419" s="298" t="s">
        <v>256</v>
      </c>
      <c r="Q419" s="298"/>
      <c r="R419" s="298"/>
      <c r="S419" s="298"/>
      <c r="T419" s="298"/>
      <c r="U419" s="298"/>
      <c r="V419" s="298"/>
      <c r="W419" s="298"/>
      <c r="X419" s="177" t="s">
        <v>2959</v>
      </c>
    </row>
    <row r="420" spans="1:24" ht="16.95" customHeight="1">
      <c r="A420" s="186" t="s">
        <v>2385</v>
      </c>
      <c r="B420" s="298">
        <v>6</v>
      </c>
      <c r="C420" s="298" t="s">
        <v>2433</v>
      </c>
      <c r="D420" s="298"/>
      <c r="E420" s="298" t="s">
        <v>256</v>
      </c>
      <c r="F420" s="187" t="s">
        <v>5971</v>
      </c>
      <c r="G420" s="186" t="s">
        <v>2479</v>
      </c>
      <c r="H420" s="298" t="s">
        <v>2498</v>
      </c>
      <c r="I420" s="298" t="s">
        <v>2500</v>
      </c>
      <c r="J420" s="298" t="s">
        <v>2960</v>
      </c>
      <c r="K420" s="186" t="s">
        <v>3335</v>
      </c>
      <c r="L420" s="188" t="s">
        <v>2964</v>
      </c>
      <c r="M420" s="189" t="s">
        <v>4429</v>
      </c>
      <c r="N420" s="306" t="s">
        <v>2799</v>
      </c>
      <c r="O420" s="298"/>
      <c r="P420" s="298"/>
      <c r="Q420" s="298"/>
      <c r="R420" s="298"/>
      <c r="S420" s="298"/>
      <c r="T420" s="298" t="s">
        <v>256</v>
      </c>
      <c r="U420" s="298"/>
      <c r="V420" s="298" t="s">
        <v>256</v>
      </c>
      <c r="W420" s="298"/>
      <c r="X420" s="177" t="s">
        <v>2959</v>
      </c>
    </row>
    <row r="421" spans="1:24" ht="16.95" customHeight="1">
      <c r="A421" s="190" t="s">
        <v>3336</v>
      </c>
      <c r="B421" s="299">
        <v>6</v>
      </c>
      <c r="C421" s="299" t="s">
        <v>2429</v>
      </c>
      <c r="D421" s="299"/>
      <c r="E421" s="299"/>
      <c r="F421" s="191" t="s">
        <v>5971</v>
      </c>
      <c r="G421" s="190" t="s">
        <v>2477</v>
      </c>
      <c r="H421" s="299" t="s">
        <v>2498</v>
      </c>
      <c r="I421" s="299" t="s">
        <v>2500</v>
      </c>
      <c r="J421" s="299" t="s">
        <v>2960</v>
      </c>
      <c r="K421" s="190" t="s">
        <v>3337</v>
      </c>
      <c r="L421" s="192" t="s">
        <v>2465</v>
      </c>
      <c r="M421" s="193" t="s">
        <v>4430</v>
      </c>
      <c r="N421" s="307" t="s">
        <v>3338</v>
      </c>
      <c r="O421" s="299"/>
      <c r="P421" s="299"/>
      <c r="Q421" s="299"/>
      <c r="R421" s="299"/>
      <c r="S421" s="299"/>
      <c r="T421" s="299"/>
      <c r="U421" s="299"/>
      <c r="V421" s="299" t="s">
        <v>256</v>
      </c>
      <c r="W421" s="299"/>
      <c r="X421" s="177" t="s">
        <v>2979</v>
      </c>
    </row>
    <row r="422" spans="1:24" ht="16.95" customHeight="1">
      <c r="A422" s="186" t="s">
        <v>2325</v>
      </c>
      <c r="B422" s="298">
        <v>6</v>
      </c>
      <c r="C422" s="298" t="s">
        <v>2433</v>
      </c>
      <c r="D422" s="298"/>
      <c r="E422" s="298"/>
      <c r="F422" s="187" t="s">
        <v>2428</v>
      </c>
      <c r="G422" s="186" t="s">
        <v>2467</v>
      </c>
      <c r="H422" s="298" t="s">
        <v>2498</v>
      </c>
      <c r="I422" s="298" t="s">
        <v>2500</v>
      </c>
      <c r="J422" s="298" t="s">
        <v>2960</v>
      </c>
      <c r="K422" s="186" t="s">
        <v>3339</v>
      </c>
      <c r="L422" s="188" t="s">
        <v>2448</v>
      </c>
      <c r="M422" s="189" t="s">
        <v>4431</v>
      </c>
      <c r="N422" s="306" t="s">
        <v>2803</v>
      </c>
      <c r="O422" s="298" t="s">
        <v>256</v>
      </c>
      <c r="P422" s="298"/>
      <c r="Q422" s="298"/>
      <c r="R422" s="298"/>
      <c r="S422" s="298"/>
      <c r="T422" s="298"/>
      <c r="U422" s="298"/>
      <c r="V422" s="298" t="s">
        <v>256</v>
      </c>
      <c r="W422" s="298"/>
      <c r="X422" s="177" t="s">
        <v>2959</v>
      </c>
    </row>
    <row r="423" spans="1:24" ht="16.95" customHeight="1">
      <c r="A423" s="194" t="s">
        <v>2278</v>
      </c>
      <c r="B423" s="300">
        <v>6</v>
      </c>
      <c r="C423" s="300" t="s">
        <v>2437</v>
      </c>
      <c r="D423" s="300"/>
      <c r="E423" s="300"/>
      <c r="F423" s="195" t="s">
        <v>5971</v>
      </c>
      <c r="G423" s="194" t="s">
        <v>2461</v>
      </c>
      <c r="H423" s="300" t="s">
        <v>2498</v>
      </c>
      <c r="I423" s="300" t="s">
        <v>2500</v>
      </c>
      <c r="J423" s="300"/>
      <c r="K423" s="194"/>
      <c r="L423" s="196" t="s">
        <v>2465</v>
      </c>
      <c r="M423" s="197" t="s">
        <v>4432</v>
      </c>
      <c r="N423" s="308" t="s">
        <v>2809</v>
      </c>
      <c r="O423" s="300"/>
      <c r="P423" s="300" t="s">
        <v>256</v>
      </c>
      <c r="Q423" s="300"/>
      <c r="R423" s="300"/>
      <c r="S423" s="300"/>
      <c r="T423" s="300"/>
      <c r="U423" s="300"/>
      <c r="V423" s="300"/>
      <c r="W423" s="300"/>
      <c r="X423" s="177" t="s">
        <v>2959</v>
      </c>
    </row>
    <row r="424" spans="1:24" ht="16.95" customHeight="1">
      <c r="A424" s="190" t="s">
        <v>2267</v>
      </c>
      <c r="B424" s="299">
        <v>6</v>
      </c>
      <c r="C424" s="299" t="s">
        <v>2429</v>
      </c>
      <c r="D424" s="299"/>
      <c r="E424" s="299"/>
      <c r="F424" s="191" t="s">
        <v>5971</v>
      </c>
      <c r="G424" s="190" t="s">
        <v>2461</v>
      </c>
      <c r="H424" s="299" t="s">
        <v>2498</v>
      </c>
      <c r="I424" s="299" t="s">
        <v>2500</v>
      </c>
      <c r="J424" s="299"/>
      <c r="K424" s="190"/>
      <c r="L424" s="192" t="s">
        <v>2465</v>
      </c>
      <c r="M424" s="193" t="s">
        <v>4433</v>
      </c>
      <c r="N424" s="307" t="s">
        <v>2806</v>
      </c>
      <c r="O424" s="299"/>
      <c r="P424" s="299" t="s">
        <v>256</v>
      </c>
      <c r="Q424" s="299" t="s">
        <v>256</v>
      </c>
      <c r="R424" s="299"/>
      <c r="S424" s="299"/>
      <c r="T424" s="299"/>
      <c r="U424" s="299"/>
      <c r="V424" s="299"/>
      <c r="W424" s="299"/>
      <c r="X424" s="177" t="s">
        <v>2959</v>
      </c>
    </row>
    <row r="425" spans="1:24" ht="16.95" customHeight="1">
      <c r="A425" s="182" t="s">
        <v>2270</v>
      </c>
      <c r="B425" s="297">
        <v>6</v>
      </c>
      <c r="C425" s="297" t="s">
        <v>2443</v>
      </c>
      <c r="D425" s="297"/>
      <c r="E425" s="297"/>
      <c r="F425" s="183" t="s">
        <v>2428</v>
      </c>
      <c r="G425" s="182" t="s">
        <v>2452</v>
      </c>
      <c r="H425" s="297" t="s">
        <v>2498</v>
      </c>
      <c r="I425" s="297" t="s">
        <v>2500</v>
      </c>
      <c r="J425" s="297" t="s">
        <v>2960</v>
      </c>
      <c r="K425" s="182" t="s">
        <v>3340</v>
      </c>
      <c r="L425" s="184" t="s">
        <v>2465</v>
      </c>
      <c r="M425" s="185" t="s">
        <v>4434</v>
      </c>
      <c r="N425" s="305" t="s">
        <v>3341</v>
      </c>
      <c r="O425" s="297" t="s">
        <v>3078</v>
      </c>
      <c r="P425" s="297" t="s">
        <v>256</v>
      </c>
      <c r="Q425" s="297" t="s">
        <v>256</v>
      </c>
      <c r="R425" s="297"/>
      <c r="S425" s="297"/>
      <c r="T425" s="297"/>
      <c r="U425" s="297"/>
      <c r="V425" s="297"/>
      <c r="W425" s="297"/>
      <c r="X425" s="177" t="s">
        <v>2959</v>
      </c>
    </row>
    <row r="426" spans="1:24" ht="16.95" customHeight="1">
      <c r="A426" s="198" t="s">
        <v>2290</v>
      </c>
      <c r="B426" s="301">
        <v>6</v>
      </c>
      <c r="C426" s="301" t="s">
        <v>2425</v>
      </c>
      <c r="D426" s="301"/>
      <c r="E426" s="301" t="s">
        <v>256</v>
      </c>
      <c r="F426" s="199" t="s">
        <v>5971</v>
      </c>
      <c r="G426" s="198" t="s">
        <v>2475</v>
      </c>
      <c r="H426" s="301" t="s">
        <v>2498</v>
      </c>
      <c r="I426" s="301" t="s">
        <v>2500</v>
      </c>
      <c r="J426" s="301"/>
      <c r="K426" s="198"/>
      <c r="L426" s="200" t="s">
        <v>2998</v>
      </c>
      <c r="M426" s="201" t="s">
        <v>4435</v>
      </c>
      <c r="N426" s="309" t="s">
        <v>2787</v>
      </c>
      <c r="O426" s="301"/>
      <c r="P426" s="301"/>
      <c r="Q426" s="301" t="s">
        <v>256</v>
      </c>
      <c r="R426" s="301"/>
      <c r="S426" s="301"/>
      <c r="T426" s="301" t="s">
        <v>256</v>
      </c>
      <c r="U426" s="301" t="s">
        <v>256</v>
      </c>
      <c r="V426" s="301" t="s">
        <v>256</v>
      </c>
      <c r="W426" s="301"/>
      <c r="X426" s="177" t="s">
        <v>2963</v>
      </c>
    </row>
    <row r="427" spans="1:24" ht="16.95" customHeight="1">
      <c r="A427" s="198" t="s">
        <v>2294</v>
      </c>
      <c r="B427" s="301">
        <v>6</v>
      </c>
      <c r="C427" s="301" t="s">
        <v>2425</v>
      </c>
      <c r="D427" s="301"/>
      <c r="E427" s="301" t="s">
        <v>256</v>
      </c>
      <c r="F427" s="199" t="s">
        <v>5971</v>
      </c>
      <c r="G427" s="198" t="s">
        <v>2475</v>
      </c>
      <c r="H427" s="301" t="s">
        <v>2498</v>
      </c>
      <c r="I427" s="301" t="s">
        <v>2500</v>
      </c>
      <c r="J427" s="301"/>
      <c r="K427" s="198"/>
      <c r="L427" s="200" t="s">
        <v>2998</v>
      </c>
      <c r="M427" s="201" t="s">
        <v>4436</v>
      </c>
      <c r="N427" s="309" t="s">
        <v>2788</v>
      </c>
      <c r="O427" s="301"/>
      <c r="P427" s="301"/>
      <c r="Q427" s="301" t="s">
        <v>256</v>
      </c>
      <c r="R427" s="301"/>
      <c r="S427" s="301"/>
      <c r="T427" s="301" t="s">
        <v>256</v>
      </c>
      <c r="U427" s="301" t="s">
        <v>256</v>
      </c>
      <c r="V427" s="301" t="s">
        <v>256</v>
      </c>
      <c r="W427" s="301"/>
      <c r="X427" s="177" t="s">
        <v>2963</v>
      </c>
    </row>
    <row r="428" spans="1:24" ht="16.95" customHeight="1">
      <c r="A428" s="198" t="s">
        <v>2297</v>
      </c>
      <c r="B428" s="301">
        <v>6</v>
      </c>
      <c r="C428" s="301" t="s">
        <v>2425</v>
      </c>
      <c r="D428" s="301"/>
      <c r="E428" s="301" t="s">
        <v>256</v>
      </c>
      <c r="F428" s="199" t="s">
        <v>5971</v>
      </c>
      <c r="G428" s="198" t="s">
        <v>2475</v>
      </c>
      <c r="H428" s="301" t="s">
        <v>2498</v>
      </c>
      <c r="I428" s="301" t="s">
        <v>2500</v>
      </c>
      <c r="J428" s="301"/>
      <c r="K428" s="198"/>
      <c r="L428" s="200" t="s">
        <v>2998</v>
      </c>
      <c r="M428" s="201" t="s">
        <v>4437</v>
      </c>
      <c r="N428" s="309" t="s">
        <v>2789</v>
      </c>
      <c r="O428" s="301"/>
      <c r="P428" s="301"/>
      <c r="Q428" s="301" t="s">
        <v>256</v>
      </c>
      <c r="R428" s="301"/>
      <c r="S428" s="301"/>
      <c r="T428" s="301" t="s">
        <v>256</v>
      </c>
      <c r="U428" s="301" t="s">
        <v>256</v>
      </c>
      <c r="V428" s="301" t="s">
        <v>256</v>
      </c>
      <c r="W428" s="301"/>
      <c r="X428" s="177" t="s">
        <v>2963</v>
      </c>
    </row>
    <row r="429" spans="1:24" ht="16.95" customHeight="1">
      <c r="A429" s="198" t="s">
        <v>2300</v>
      </c>
      <c r="B429" s="301">
        <v>6</v>
      </c>
      <c r="C429" s="301" t="s">
        <v>2425</v>
      </c>
      <c r="D429" s="301"/>
      <c r="E429" s="301" t="s">
        <v>256</v>
      </c>
      <c r="F429" s="199" t="s">
        <v>5971</v>
      </c>
      <c r="G429" s="198" t="s">
        <v>2475</v>
      </c>
      <c r="H429" s="301" t="s">
        <v>2498</v>
      </c>
      <c r="I429" s="301" t="s">
        <v>2500</v>
      </c>
      <c r="J429" s="301"/>
      <c r="K429" s="198"/>
      <c r="L429" s="200" t="s">
        <v>2998</v>
      </c>
      <c r="M429" s="201" t="s">
        <v>4438</v>
      </c>
      <c r="N429" s="309" t="s">
        <v>2790</v>
      </c>
      <c r="O429" s="301"/>
      <c r="P429" s="301"/>
      <c r="Q429" s="301" t="s">
        <v>256</v>
      </c>
      <c r="R429" s="301"/>
      <c r="S429" s="301"/>
      <c r="T429" s="301" t="s">
        <v>256</v>
      </c>
      <c r="U429" s="301" t="s">
        <v>256</v>
      </c>
      <c r="V429" s="301" t="s">
        <v>256</v>
      </c>
      <c r="W429" s="301"/>
      <c r="X429" s="177" t="s">
        <v>2963</v>
      </c>
    </row>
    <row r="430" spans="1:24" ht="16.95" customHeight="1">
      <c r="A430" s="194" t="s">
        <v>2405</v>
      </c>
      <c r="B430" s="300">
        <v>6</v>
      </c>
      <c r="C430" s="300" t="s">
        <v>2437</v>
      </c>
      <c r="D430" s="300"/>
      <c r="E430" s="300"/>
      <c r="F430" s="195" t="s">
        <v>2438</v>
      </c>
      <c r="G430" s="194" t="s">
        <v>2475</v>
      </c>
      <c r="H430" s="300" t="s">
        <v>2498</v>
      </c>
      <c r="I430" s="300" t="s">
        <v>2500</v>
      </c>
      <c r="J430" s="300" t="s">
        <v>2960</v>
      </c>
      <c r="K430" s="194" t="s">
        <v>3342</v>
      </c>
      <c r="L430" s="196" t="s">
        <v>2612</v>
      </c>
      <c r="M430" s="197" t="s">
        <v>4439</v>
      </c>
      <c r="N430" s="308" t="s">
        <v>2813</v>
      </c>
      <c r="O430" s="300"/>
      <c r="P430" s="300"/>
      <c r="Q430" s="300"/>
      <c r="R430" s="300"/>
      <c r="S430" s="300"/>
      <c r="T430" s="300"/>
      <c r="U430" s="300"/>
      <c r="V430" s="300" t="s">
        <v>256</v>
      </c>
      <c r="W430" s="300"/>
      <c r="X430" s="177" t="s">
        <v>2959</v>
      </c>
    </row>
    <row r="431" spans="1:24" ht="16.95" customHeight="1">
      <c r="A431" s="202" t="s">
        <v>2282</v>
      </c>
      <c r="B431" s="302">
        <v>6</v>
      </c>
      <c r="C431" s="302" t="s">
        <v>2967</v>
      </c>
      <c r="D431" s="302"/>
      <c r="E431" s="302"/>
      <c r="F431" s="203" t="s">
        <v>5971</v>
      </c>
      <c r="G431" s="202" t="s">
        <v>2461</v>
      </c>
      <c r="H431" s="302" t="s">
        <v>2498</v>
      </c>
      <c r="I431" s="302"/>
      <c r="J431" s="302" t="s">
        <v>2960</v>
      </c>
      <c r="K431" s="202" t="s">
        <v>3343</v>
      </c>
      <c r="L431" s="204" t="s">
        <v>2448</v>
      </c>
      <c r="M431" s="205" t="s">
        <v>4440</v>
      </c>
      <c r="N431" s="310" t="s">
        <v>2801</v>
      </c>
      <c r="O431" s="302" t="s">
        <v>256</v>
      </c>
      <c r="P431" s="302"/>
      <c r="Q431" s="302"/>
      <c r="R431" s="302"/>
      <c r="S431" s="302"/>
      <c r="T431" s="302" t="s">
        <v>256</v>
      </c>
      <c r="U431" s="302" t="s">
        <v>256</v>
      </c>
      <c r="V431" s="302" t="s">
        <v>256</v>
      </c>
      <c r="W431" s="302"/>
      <c r="X431" s="177" t="s">
        <v>2959</v>
      </c>
    </row>
    <row r="432" spans="1:24" ht="16.95" customHeight="1">
      <c r="A432" s="210" t="s">
        <v>2268</v>
      </c>
      <c r="B432" s="304">
        <v>6</v>
      </c>
      <c r="C432" s="304" t="s">
        <v>2450</v>
      </c>
      <c r="D432" s="304"/>
      <c r="E432" s="304" t="s">
        <v>256</v>
      </c>
      <c r="F432" s="211" t="s">
        <v>5971</v>
      </c>
      <c r="G432" s="210" t="s">
        <v>2461</v>
      </c>
      <c r="H432" s="304"/>
      <c r="I432" s="304" t="s">
        <v>2500</v>
      </c>
      <c r="J432" s="304"/>
      <c r="K432" s="210"/>
      <c r="L432" s="212" t="s">
        <v>2964</v>
      </c>
      <c r="M432" s="213" t="s">
        <v>4441</v>
      </c>
      <c r="N432" s="312" t="s">
        <v>2782</v>
      </c>
      <c r="O432" s="304"/>
      <c r="P432" s="304"/>
      <c r="Q432" s="304"/>
      <c r="R432" s="304"/>
      <c r="S432" s="304"/>
      <c r="T432" s="304" t="s">
        <v>256</v>
      </c>
      <c r="U432" s="304" t="s">
        <v>256</v>
      </c>
      <c r="V432" s="304" t="s">
        <v>256</v>
      </c>
      <c r="W432" s="304"/>
      <c r="X432" s="177" t="s">
        <v>2963</v>
      </c>
    </row>
    <row r="433" spans="1:24" ht="16.95" customHeight="1">
      <c r="A433" s="198" t="s">
        <v>2365</v>
      </c>
      <c r="B433" s="301">
        <v>6</v>
      </c>
      <c r="C433" s="301" t="s">
        <v>2425</v>
      </c>
      <c r="D433" s="301"/>
      <c r="E433" s="301" t="s">
        <v>256</v>
      </c>
      <c r="F433" s="199" t="s">
        <v>5971</v>
      </c>
      <c r="G433" s="198" t="s">
        <v>2435</v>
      </c>
      <c r="H433" s="301" t="s">
        <v>2498</v>
      </c>
      <c r="I433" s="301" t="s">
        <v>2500</v>
      </c>
      <c r="J433" s="301" t="s">
        <v>2960</v>
      </c>
      <c r="K433" s="198" t="s">
        <v>3344</v>
      </c>
      <c r="L433" s="200" t="s">
        <v>3345</v>
      </c>
      <c r="M433" s="201" t="s">
        <v>4442</v>
      </c>
      <c r="N433" s="309" t="s">
        <v>2816</v>
      </c>
      <c r="O433" s="301"/>
      <c r="P433" s="301"/>
      <c r="Q433" s="301" t="s">
        <v>256</v>
      </c>
      <c r="R433" s="301"/>
      <c r="S433" s="301"/>
      <c r="T433" s="301" t="s">
        <v>256</v>
      </c>
      <c r="U433" s="301"/>
      <c r="V433" s="301" t="s">
        <v>256</v>
      </c>
      <c r="W433" s="301"/>
      <c r="X433" s="177" t="s">
        <v>2959</v>
      </c>
    </row>
    <row r="434" spans="1:24" ht="16.95" customHeight="1">
      <c r="A434" s="190" t="s">
        <v>2406</v>
      </c>
      <c r="B434" s="299">
        <v>6</v>
      </c>
      <c r="C434" s="299" t="s">
        <v>2429</v>
      </c>
      <c r="D434" s="299"/>
      <c r="E434" s="299"/>
      <c r="F434" s="191" t="s">
        <v>5971</v>
      </c>
      <c r="G434" s="190" t="s">
        <v>2449</v>
      </c>
      <c r="H434" s="299" t="s">
        <v>2498</v>
      </c>
      <c r="I434" s="299" t="s">
        <v>2500</v>
      </c>
      <c r="J434" s="299" t="s">
        <v>2960</v>
      </c>
      <c r="K434" s="190" t="s">
        <v>3346</v>
      </c>
      <c r="L434" s="192" t="s">
        <v>2465</v>
      </c>
      <c r="M434" s="193" t="s">
        <v>4443</v>
      </c>
      <c r="N434" s="307" t="s">
        <v>3347</v>
      </c>
      <c r="O434" s="299"/>
      <c r="P434" s="299"/>
      <c r="Q434" s="299"/>
      <c r="R434" s="299"/>
      <c r="S434" s="299"/>
      <c r="T434" s="299" t="s">
        <v>3078</v>
      </c>
      <c r="U434" s="299"/>
      <c r="V434" s="299" t="s">
        <v>256</v>
      </c>
      <c r="W434" s="299"/>
      <c r="X434" s="177" t="s">
        <v>2959</v>
      </c>
    </row>
    <row r="435" spans="1:24" ht="16.95" customHeight="1">
      <c r="A435" s="202" t="s">
        <v>2329</v>
      </c>
      <c r="B435" s="302">
        <v>6</v>
      </c>
      <c r="C435" s="302" t="s">
        <v>2967</v>
      </c>
      <c r="D435" s="302"/>
      <c r="E435" s="302" t="s">
        <v>256</v>
      </c>
      <c r="F435" s="203" t="s">
        <v>5971</v>
      </c>
      <c r="G435" s="202" t="s">
        <v>2452</v>
      </c>
      <c r="H435" s="302" t="s">
        <v>2498</v>
      </c>
      <c r="I435" s="302"/>
      <c r="J435" s="302"/>
      <c r="K435" s="202"/>
      <c r="L435" s="204" t="s">
        <v>2964</v>
      </c>
      <c r="M435" s="205" t="s">
        <v>4444</v>
      </c>
      <c r="N435" s="310" t="s">
        <v>3348</v>
      </c>
      <c r="O435" s="302" t="s">
        <v>256</v>
      </c>
      <c r="P435" s="302"/>
      <c r="Q435" s="302"/>
      <c r="R435" s="302"/>
      <c r="S435" s="302"/>
      <c r="T435" s="302"/>
      <c r="U435" s="302"/>
      <c r="V435" s="302" t="s">
        <v>256</v>
      </c>
      <c r="W435" s="302"/>
      <c r="X435" s="177" t="s">
        <v>2959</v>
      </c>
    </row>
    <row r="436" spans="1:24" ht="16.95" customHeight="1">
      <c r="A436" s="182" t="s">
        <v>2280</v>
      </c>
      <c r="B436" s="297">
        <v>6</v>
      </c>
      <c r="C436" s="297" t="s">
        <v>2443</v>
      </c>
      <c r="D436" s="297"/>
      <c r="E436" s="297"/>
      <c r="F436" s="183" t="s">
        <v>2428</v>
      </c>
      <c r="G436" s="182" t="s">
        <v>2461</v>
      </c>
      <c r="H436" s="297" t="s">
        <v>2498</v>
      </c>
      <c r="I436" s="297" t="s">
        <v>2500</v>
      </c>
      <c r="J436" s="297"/>
      <c r="K436" s="182"/>
      <c r="L436" s="184" t="s">
        <v>2465</v>
      </c>
      <c r="M436" s="185" t="s">
        <v>4445</v>
      </c>
      <c r="N436" s="305" t="s">
        <v>2810</v>
      </c>
      <c r="O436" s="297"/>
      <c r="P436" s="297" t="s">
        <v>256</v>
      </c>
      <c r="Q436" s="297"/>
      <c r="R436" s="297"/>
      <c r="S436" s="297"/>
      <c r="T436" s="297"/>
      <c r="U436" s="297"/>
      <c r="V436" s="297"/>
      <c r="W436" s="297"/>
      <c r="X436" s="177" t="s">
        <v>2959</v>
      </c>
    </row>
    <row r="437" spans="1:24" ht="16.95" customHeight="1">
      <c r="A437" s="186" t="s">
        <v>2364</v>
      </c>
      <c r="B437" s="298">
        <v>6</v>
      </c>
      <c r="C437" s="298" t="s">
        <v>2433</v>
      </c>
      <c r="D437" s="298"/>
      <c r="E437" s="298" t="s">
        <v>256</v>
      </c>
      <c r="F437" s="187" t="s">
        <v>5971</v>
      </c>
      <c r="G437" s="186" t="s">
        <v>2475</v>
      </c>
      <c r="H437" s="298" t="s">
        <v>2498</v>
      </c>
      <c r="I437" s="298" t="s">
        <v>2500</v>
      </c>
      <c r="J437" s="298"/>
      <c r="K437" s="186"/>
      <c r="L437" s="188" t="s">
        <v>2964</v>
      </c>
      <c r="M437" s="189" t="s">
        <v>4446</v>
      </c>
      <c r="N437" s="306" t="s">
        <v>2793</v>
      </c>
      <c r="O437" s="298"/>
      <c r="P437" s="298"/>
      <c r="Q437" s="298" t="s">
        <v>256</v>
      </c>
      <c r="R437" s="298"/>
      <c r="S437" s="298"/>
      <c r="T437" s="298"/>
      <c r="U437" s="298"/>
      <c r="V437" s="298"/>
      <c r="W437" s="298"/>
      <c r="X437" s="177" t="s">
        <v>2959</v>
      </c>
    </row>
    <row r="438" spans="1:24" ht="16.95" customHeight="1">
      <c r="A438" s="210" t="s">
        <v>2332</v>
      </c>
      <c r="B438" s="304">
        <v>6</v>
      </c>
      <c r="C438" s="304" t="s">
        <v>2450</v>
      </c>
      <c r="D438" s="304"/>
      <c r="E438" s="304"/>
      <c r="F438" s="211" t="s">
        <v>5971</v>
      </c>
      <c r="G438" s="210" t="s">
        <v>2435</v>
      </c>
      <c r="H438" s="304" t="s">
        <v>2498</v>
      </c>
      <c r="I438" s="304" t="s">
        <v>2500</v>
      </c>
      <c r="J438" s="304" t="s">
        <v>2960</v>
      </c>
      <c r="K438" s="210" t="s">
        <v>3349</v>
      </c>
      <c r="L438" s="212" t="s">
        <v>2612</v>
      </c>
      <c r="M438" s="213" t="s">
        <v>4447</v>
      </c>
      <c r="N438" s="312" t="s">
        <v>2804</v>
      </c>
      <c r="O438" s="304" t="s">
        <v>256</v>
      </c>
      <c r="P438" s="304"/>
      <c r="Q438" s="304"/>
      <c r="R438" s="304"/>
      <c r="S438" s="304"/>
      <c r="T438" s="304"/>
      <c r="U438" s="304"/>
      <c r="V438" s="304" t="s">
        <v>256</v>
      </c>
      <c r="W438" s="304"/>
      <c r="X438" s="177" t="s">
        <v>2959</v>
      </c>
    </row>
    <row r="439" spans="1:24" ht="16.95" customHeight="1">
      <c r="A439" s="182" t="s">
        <v>2271</v>
      </c>
      <c r="B439" s="297">
        <v>6</v>
      </c>
      <c r="C439" s="297" t="s">
        <v>2443</v>
      </c>
      <c r="D439" s="297"/>
      <c r="E439" s="297"/>
      <c r="F439" s="183" t="s">
        <v>5971</v>
      </c>
      <c r="G439" s="182" t="s">
        <v>2452</v>
      </c>
      <c r="H439" s="297" t="s">
        <v>2498</v>
      </c>
      <c r="I439" s="297"/>
      <c r="J439" s="297"/>
      <c r="K439" s="182"/>
      <c r="L439" s="184" t="s">
        <v>2465</v>
      </c>
      <c r="M439" s="185" t="s">
        <v>4448</v>
      </c>
      <c r="N439" s="305" t="s">
        <v>2783</v>
      </c>
      <c r="O439" s="297"/>
      <c r="P439" s="297"/>
      <c r="Q439" s="297"/>
      <c r="R439" s="297"/>
      <c r="S439" s="297"/>
      <c r="T439" s="297" t="s">
        <v>256</v>
      </c>
      <c r="U439" s="297" t="s">
        <v>256</v>
      </c>
      <c r="V439" s="297" t="s">
        <v>256</v>
      </c>
      <c r="W439" s="297"/>
      <c r="X439" s="177" t="s">
        <v>3350</v>
      </c>
    </row>
    <row r="440" spans="1:24" ht="16.95" customHeight="1">
      <c r="A440" s="194" t="s">
        <v>2287</v>
      </c>
      <c r="B440" s="300">
        <v>6</v>
      </c>
      <c r="C440" s="300" t="s">
        <v>2437</v>
      </c>
      <c r="D440" s="300"/>
      <c r="E440" s="300"/>
      <c r="F440" s="195" t="s">
        <v>6065</v>
      </c>
      <c r="G440" s="194" t="s">
        <v>2461</v>
      </c>
      <c r="H440" s="300" t="s">
        <v>2498</v>
      </c>
      <c r="I440" s="300" t="s">
        <v>2500</v>
      </c>
      <c r="J440" s="300" t="s">
        <v>2960</v>
      </c>
      <c r="K440" s="194" t="s">
        <v>3351</v>
      </c>
      <c r="L440" s="196" t="s">
        <v>2444</v>
      </c>
      <c r="M440" s="197" t="s">
        <v>4449</v>
      </c>
      <c r="N440" s="308" t="s">
        <v>2784</v>
      </c>
      <c r="O440" s="300"/>
      <c r="P440" s="300"/>
      <c r="Q440" s="300"/>
      <c r="R440" s="300"/>
      <c r="S440" s="300"/>
      <c r="T440" s="300"/>
      <c r="U440" s="300" t="s">
        <v>256</v>
      </c>
      <c r="V440" s="300" t="s">
        <v>256</v>
      </c>
      <c r="W440" s="300"/>
      <c r="X440" s="177" t="s">
        <v>3350</v>
      </c>
    </row>
    <row r="441" spans="1:24" ht="16.95" customHeight="1">
      <c r="A441" s="182" t="s">
        <v>4729</v>
      </c>
      <c r="B441" s="297">
        <v>6</v>
      </c>
      <c r="C441" s="297" t="s">
        <v>2443</v>
      </c>
      <c r="D441" s="297"/>
      <c r="E441" s="297" t="s">
        <v>256</v>
      </c>
      <c r="F441" s="183" t="s">
        <v>5971</v>
      </c>
      <c r="G441" s="182" t="s">
        <v>2463</v>
      </c>
      <c r="H441" s="297" t="s">
        <v>2498</v>
      </c>
      <c r="I441" s="297" t="s">
        <v>2500</v>
      </c>
      <c r="J441" s="297" t="s">
        <v>2960</v>
      </c>
      <c r="K441" s="182" t="s">
        <v>3352</v>
      </c>
      <c r="L441" s="184" t="s">
        <v>3013</v>
      </c>
      <c r="M441" s="185" t="s">
        <v>4450</v>
      </c>
      <c r="N441" s="305" t="s">
        <v>2937</v>
      </c>
      <c r="O441" s="297"/>
      <c r="P441" s="297"/>
      <c r="Q441" s="297"/>
      <c r="R441" s="297"/>
      <c r="S441" s="297"/>
      <c r="T441" s="297"/>
      <c r="U441" s="297" t="s">
        <v>256</v>
      </c>
      <c r="V441" s="297" t="s">
        <v>256</v>
      </c>
      <c r="W441" s="297"/>
      <c r="X441" s="177" t="s">
        <v>2974</v>
      </c>
    </row>
    <row r="442" spans="1:24" ht="16.95" customHeight="1">
      <c r="A442" s="190" t="s">
        <v>2366</v>
      </c>
      <c r="B442" s="299">
        <v>6</v>
      </c>
      <c r="C442" s="299" t="s">
        <v>2429</v>
      </c>
      <c r="D442" s="299"/>
      <c r="E442" s="299" t="s">
        <v>256</v>
      </c>
      <c r="F442" s="191" t="s">
        <v>5971</v>
      </c>
      <c r="G442" s="190" t="s">
        <v>2492</v>
      </c>
      <c r="H442" s="299" t="s">
        <v>2498</v>
      </c>
      <c r="I442" s="299" t="s">
        <v>2500</v>
      </c>
      <c r="J442" s="299" t="s">
        <v>2960</v>
      </c>
      <c r="K442" s="190" t="s">
        <v>3353</v>
      </c>
      <c r="L442" s="192" t="s">
        <v>2964</v>
      </c>
      <c r="M442" s="193" t="s">
        <v>4451</v>
      </c>
      <c r="N442" s="307" t="s">
        <v>2817</v>
      </c>
      <c r="O442" s="299"/>
      <c r="P442" s="299" t="s">
        <v>3078</v>
      </c>
      <c r="Q442" s="299" t="s">
        <v>256</v>
      </c>
      <c r="R442" s="299"/>
      <c r="S442" s="299"/>
      <c r="T442" s="299" t="s">
        <v>256</v>
      </c>
      <c r="U442" s="299"/>
      <c r="V442" s="299" t="s">
        <v>256</v>
      </c>
      <c r="W442" s="299"/>
      <c r="X442" s="177" t="s">
        <v>2959</v>
      </c>
    </row>
    <row r="443" spans="1:24" ht="16.95" customHeight="1">
      <c r="A443" s="198" t="s">
        <v>2938</v>
      </c>
      <c r="B443" s="301">
        <v>6</v>
      </c>
      <c r="C443" s="301" t="s">
        <v>2425</v>
      </c>
      <c r="D443" s="301"/>
      <c r="E443" s="301" t="s">
        <v>256</v>
      </c>
      <c r="F443" s="199" t="s">
        <v>6007</v>
      </c>
      <c r="G443" s="198" t="s">
        <v>2475</v>
      </c>
      <c r="H443" s="301" t="s">
        <v>2498</v>
      </c>
      <c r="I443" s="301" t="s">
        <v>2500</v>
      </c>
      <c r="J443" s="301" t="s">
        <v>2960</v>
      </c>
      <c r="K443" s="198" t="s">
        <v>3354</v>
      </c>
      <c r="L443" s="200" t="s">
        <v>2964</v>
      </c>
      <c r="M443" s="201" t="s">
        <v>4452</v>
      </c>
      <c r="N443" s="309" t="s">
        <v>3355</v>
      </c>
      <c r="O443" s="301"/>
      <c r="P443" s="301"/>
      <c r="Q443" s="301"/>
      <c r="R443" s="301"/>
      <c r="S443" s="301"/>
      <c r="T443" s="301" t="s">
        <v>256</v>
      </c>
      <c r="U443" s="301" t="s">
        <v>256</v>
      </c>
      <c r="V443" s="301" t="s">
        <v>256</v>
      </c>
      <c r="W443" s="301"/>
      <c r="X443" s="177" t="s">
        <v>2974</v>
      </c>
    </row>
    <row r="444" spans="1:24" ht="16.95" customHeight="1">
      <c r="A444" s="198" t="s">
        <v>2407</v>
      </c>
      <c r="B444" s="301">
        <v>6</v>
      </c>
      <c r="C444" s="301" t="s">
        <v>2425</v>
      </c>
      <c r="D444" s="301"/>
      <c r="E444" s="301" t="s">
        <v>256</v>
      </c>
      <c r="F444" s="199" t="s">
        <v>5971</v>
      </c>
      <c r="G444" s="198" t="s">
        <v>2475</v>
      </c>
      <c r="H444" s="301" t="s">
        <v>2498</v>
      </c>
      <c r="I444" s="301" t="s">
        <v>2500</v>
      </c>
      <c r="J444" s="301" t="s">
        <v>2960</v>
      </c>
      <c r="K444" s="198" t="s">
        <v>3356</v>
      </c>
      <c r="L444" s="200" t="s">
        <v>2998</v>
      </c>
      <c r="M444" s="201" t="s">
        <v>4453</v>
      </c>
      <c r="N444" s="309" t="s">
        <v>2786</v>
      </c>
      <c r="O444" s="301"/>
      <c r="P444" s="301"/>
      <c r="Q444" s="301"/>
      <c r="R444" s="301"/>
      <c r="S444" s="301"/>
      <c r="T444" s="301"/>
      <c r="U444" s="301"/>
      <c r="V444" s="301" t="s">
        <v>256</v>
      </c>
      <c r="W444" s="301"/>
      <c r="X444" s="177" t="s">
        <v>2959</v>
      </c>
    </row>
    <row r="445" spans="1:24" ht="16.95" customHeight="1">
      <c r="A445" s="182" t="s">
        <v>2368</v>
      </c>
      <c r="B445" s="297">
        <v>6</v>
      </c>
      <c r="C445" s="297" t="s">
        <v>2443</v>
      </c>
      <c r="D445" s="297"/>
      <c r="E445" s="297"/>
      <c r="F445" s="183" t="s">
        <v>5971</v>
      </c>
      <c r="G445" s="182" t="s">
        <v>2431</v>
      </c>
      <c r="H445" s="297" t="s">
        <v>2498</v>
      </c>
      <c r="I445" s="297" t="s">
        <v>2500</v>
      </c>
      <c r="J445" s="297"/>
      <c r="K445" s="182"/>
      <c r="L445" s="184" t="s">
        <v>2442</v>
      </c>
      <c r="M445" s="185" t="s">
        <v>4454</v>
      </c>
      <c r="N445" s="305" t="s">
        <v>2818</v>
      </c>
      <c r="O445" s="297"/>
      <c r="P445" s="297"/>
      <c r="Q445" s="297" t="s">
        <v>256</v>
      </c>
      <c r="R445" s="297"/>
      <c r="S445" s="297"/>
      <c r="T445" s="297"/>
      <c r="U445" s="297"/>
      <c r="V445" s="297"/>
      <c r="W445" s="297"/>
      <c r="X445" s="177" t="s">
        <v>2959</v>
      </c>
    </row>
    <row r="446" spans="1:24" ht="16.95" customHeight="1">
      <c r="A446" s="206" t="s">
        <v>2259</v>
      </c>
      <c r="B446" s="303">
        <v>6</v>
      </c>
      <c r="C446" s="303" t="s">
        <v>2440</v>
      </c>
      <c r="D446" s="303"/>
      <c r="E446" s="303"/>
      <c r="F446" s="207" t="s">
        <v>5971</v>
      </c>
      <c r="G446" s="206" t="s">
        <v>2467</v>
      </c>
      <c r="H446" s="303" t="s">
        <v>2498</v>
      </c>
      <c r="I446" s="303" t="s">
        <v>2500</v>
      </c>
      <c r="J446" s="303" t="s">
        <v>2960</v>
      </c>
      <c r="K446" s="206" t="s">
        <v>3357</v>
      </c>
      <c r="L446" s="208" t="s">
        <v>2434</v>
      </c>
      <c r="M446" s="209" t="s">
        <v>4455</v>
      </c>
      <c r="N446" s="311" t="s">
        <v>2802</v>
      </c>
      <c r="O446" s="303" t="s">
        <v>256</v>
      </c>
      <c r="P446" s="303" t="s">
        <v>256</v>
      </c>
      <c r="Q446" s="303"/>
      <c r="R446" s="303"/>
      <c r="S446" s="303"/>
      <c r="T446" s="303" t="s">
        <v>256</v>
      </c>
      <c r="U446" s="303" t="s">
        <v>256</v>
      </c>
      <c r="V446" s="303" t="s">
        <v>256</v>
      </c>
      <c r="W446" s="303"/>
      <c r="X446" s="177" t="s">
        <v>2959</v>
      </c>
    </row>
    <row r="447" spans="1:24" ht="16.95" customHeight="1">
      <c r="A447" s="190" t="s">
        <v>2408</v>
      </c>
      <c r="B447" s="299">
        <v>6</v>
      </c>
      <c r="C447" s="299" t="s">
        <v>2429</v>
      </c>
      <c r="D447" s="299"/>
      <c r="E447" s="299" t="s">
        <v>256</v>
      </c>
      <c r="F447" s="191" t="s">
        <v>5971</v>
      </c>
      <c r="G447" s="190" t="s">
        <v>2435</v>
      </c>
      <c r="H447" s="299" t="s">
        <v>2498</v>
      </c>
      <c r="I447" s="299" t="s">
        <v>2500</v>
      </c>
      <c r="J447" s="299" t="s">
        <v>2960</v>
      </c>
      <c r="K447" s="190" t="s">
        <v>3358</v>
      </c>
      <c r="L447" s="192" t="s">
        <v>2998</v>
      </c>
      <c r="M447" s="193" t="s">
        <v>4547</v>
      </c>
      <c r="N447" s="307" t="s">
        <v>2814</v>
      </c>
      <c r="O447" s="299"/>
      <c r="P447" s="299"/>
      <c r="Q447" s="299"/>
      <c r="R447" s="299"/>
      <c r="S447" s="299"/>
      <c r="T447" s="299"/>
      <c r="U447" s="299"/>
      <c r="V447" s="299" t="s">
        <v>256</v>
      </c>
      <c r="W447" s="299"/>
      <c r="X447" s="177" t="s">
        <v>2959</v>
      </c>
    </row>
    <row r="448" spans="1:24" ht="16.95" customHeight="1">
      <c r="A448" s="182" t="s">
        <v>2370</v>
      </c>
      <c r="B448" s="297">
        <v>6</v>
      </c>
      <c r="C448" s="297" t="s">
        <v>2443</v>
      </c>
      <c r="D448" s="297"/>
      <c r="E448" s="297" t="s">
        <v>256</v>
      </c>
      <c r="F448" s="183" t="s">
        <v>5971</v>
      </c>
      <c r="G448" s="182" t="s">
        <v>2435</v>
      </c>
      <c r="H448" s="297" t="s">
        <v>2498</v>
      </c>
      <c r="I448" s="297" t="s">
        <v>2500</v>
      </c>
      <c r="J448" s="297" t="s">
        <v>2960</v>
      </c>
      <c r="K448" s="182" t="s">
        <v>3359</v>
      </c>
      <c r="L448" s="184" t="s">
        <v>2998</v>
      </c>
      <c r="M448" s="185" t="s">
        <v>4456</v>
      </c>
      <c r="N448" s="305" t="s">
        <v>2819</v>
      </c>
      <c r="O448" s="297"/>
      <c r="P448" s="297"/>
      <c r="Q448" s="297" t="s">
        <v>256</v>
      </c>
      <c r="R448" s="297"/>
      <c r="S448" s="297"/>
      <c r="T448" s="297"/>
      <c r="U448" s="297"/>
      <c r="V448" s="297"/>
      <c r="W448" s="297"/>
      <c r="X448" s="177" t="s">
        <v>2959</v>
      </c>
    </row>
    <row r="449" spans="1:24" ht="16.95" customHeight="1">
      <c r="A449" s="198" t="s">
        <v>2373</v>
      </c>
      <c r="B449" s="301">
        <v>6</v>
      </c>
      <c r="C449" s="301" t="s">
        <v>2425</v>
      </c>
      <c r="D449" s="301"/>
      <c r="E449" s="301"/>
      <c r="F449" s="199" t="s">
        <v>2438</v>
      </c>
      <c r="G449" s="198" t="s">
        <v>2452</v>
      </c>
      <c r="H449" s="301" t="s">
        <v>2498</v>
      </c>
      <c r="I449" s="301" t="s">
        <v>2500</v>
      </c>
      <c r="J449" s="301" t="s">
        <v>2960</v>
      </c>
      <c r="K449" s="198" t="s">
        <v>3360</v>
      </c>
      <c r="L449" s="200" t="s">
        <v>2444</v>
      </c>
      <c r="M449" s="201" t="s">
        <v>4457</v>
      </c>
      <c r="N449" s="309" t="s">
        <v>2820</v>
      </c>
      <c r="O449" s="301"/>
      <c r="P449" s="301"/>
      <c r="Q449" s="301" t="s">
        <v>256</v>
      </c>
      <c r="R449" s="301"/>
      <c r="S449" s="301"/>
      <c r="T449" s="301"/>
      <c r="U449" s="301"/>
      <c r="V449" s="301"/>
      <c r="W449" s="301"/>
      <c r="X449" s="177" t="s">
        <v>2959</v>
      </c>
    </row>
    <row r="450" spans="1:24" ht="16.95" customHeight="1">
      <c r="A450" s="182" t="s">
        <v>2283</v>
      </c>
      <c r="B450" s="297">
        <v>6</v>
      </c>
      <c r="C450" s="297" t="s">
        <v>2443</v>
      </c>
      <c r="D450" s="297"/>
      <c r="E450" s="297"/>
      <c r="F450" s="183" t="s">
        <v>5971</v>
      </c>
      <c r="G450" s="182" t="s">
        <v>2458</v>
      </c>
      <c r="H450" s="297" t="s">
        <v>2498</v>
      </c>
      <c r="I450" s="297"/>
      <c r="J450" s="297"/>
      <c r="K450" s="182"/>
      <c r="L450" s="184" t="s">
        <v>2465</v>
      </c>
      <c r="M450" s="185" t="s">
        <v>4458</v>
      </c>
      <c r="N450" s="305" t="s">
        <v>2811</v>
      </c>
      <c r="O450" s="297"/>
      <c r="P450" s="297" t="s">
        <v>256</v>
      </c>
      <c r="Q450" s="297"/>
      <c r="R450" s="297"/>
      <c r="S450" s="297"/>
      <c r="T450" s="297"/>
      <c r="U450" s="297"/>
      <c r="V450" s="297"/>
      <c r="W450" s="297"/>
      <c r="X450" s="177" t="s">
        <v>2959</v>
      </c>
    </row>
    <row r="451" spans="1:24" ht="16.95" customHeight="1">
      <c r="A451" s="186" t="s">
        <v>3361</v>
      </c>
      <c r="B451" s="298">
        <v>6</v>
      </c>
      <c r="C451" s="298" t="s">
        <v>2433</v>
      </c>
      <c r="D451" s="298"/>
      <c r="E451" s="298" t="s">
        <v>256</v>
      </c>
      <c r="F451" s="187" t="s">
        <v>6007</v>
      </c>
      <c r="G451" s="186" t="s">
        <v>2461</v>
      </c>
      <c r="H451" s="298" t="s">
        <v>2498</v>
      </c>
      <c r="I451" s="298" t="s">
        <v>2500</v>
      </c>
      <c r="J451" s="298" t="s">
        <v>2960</v>
      </c>
      <c r="K451" s="186" t="s">
        <v>3362</v>
      </c>
      <c r="L451" s="188" t="s">
        <v>2964</v>
      </c>
      <c r="M451" s="189" t="s">
        <v>4459</v>
      </c>
      <c r="N451" s="306" t="s">
        <v>3363</v>
      </c>
      <c r="O451" s="298"/>
      <c r="P451" s="298"/>
      <c r="Q451" s="298"/>
      <c r="R451" s="298"/>
      <c r="S451" s="298"/>
      <c r="T451" s="298" t="s">
        <v>256</v>
      </c>
      <c r="U451" s="298"/>
      <c r="V451" s="298" t="s">
        <v>256</v>
      </c>
      <c r="W451" s="298"/>
      <c r="X451" s="385" t="s">
        <v>3123</v>
      </c>
    </row>
    <row r="452" spans="1:24" ht="16.95" customHeight="1">
      <c r="A452" s="182" t="s">
        <v>2296</v>
      </c>
      <c r="B452" s="297">
        <v>7</v>
      </c>
      <c r="C452" s="297" t="s">
        <v>2443</v>
      </c>
      <c r="D452" s="297"/>
      <c r="E452" s="297" t="s">
        <v>256</v>
      </c>
      <c r="F452" s="183" t="s">
        <v>2438</v>
      </c>
      <c r="G452" s="182" t="s">
        <v>2463</v>
      </c>
      <c r="H452" s="297" t="s">
        <v>2498</v>
      </c>
      <c r="I452" s="297" t="s">
        <v>2500</v>
      </c>
      <c r="J452" s="297"/>
      <c r="K452" s="182"/>
      <c r="L452" s="184" t="s">
        <v>3013</v>
      </c>
      <c r="M452" s="185" t="s">
        <v>4460</v>
      </c>
      <c r="N452" s="305" t="s">
        <v>2838</v>
      </c>
      <c r="O452" s="297"/>
      <c r="P452" s="297" t="s">
        <v>256</v>
      </c>
      <c r="Q452" s="297"/>
      <c r="R452" s="297"/>
      <c r="S452" s="297"/>
      <c r="T452" s="297"/>
      <c r="U452" s="297"/>
      <c r="V452" s="297"/>
      <c r="W452" s="297"/>
      <c r="X452" s="177" t="s">
        <v>2959</v>
      </c>
    </row>
    <row r="453" spans="1:24" ht="16.95" customHeight="1">
      <c r="A453" s="190" t="s">
        <v>2305</v>
      </c>
      <c r="B453" s="299">
        <v>7</v>
      </c>
      <c r="C453" s="299" t="s">
        <v>2429</v>
      </c>
      <c r="D453" s="299"/>
      <c r="E453" s="299"/>
      <c r="F453" s="191" t="s">
        <v>5971</v>
      </c>
      <c r="G453" s="190" t="s">
        <v>2475</v>
      </c>
      <c r="H453" s="299" t="s">
        <v>2498</v>
      </c>
      <c r="I453" s="299" t="s">
        <v>2500</v>
      </c>
      <c r="J453" s="299"/>
      <c r="K453" s="190"/>
      <c r="L453" s="192" t="s">
        <v>2434</v>
      </c>
      <c r="M453" s="193" t="s">
        <v>4461</v>
      </c>
      <c r="N453" s="307" t="s">
        <v>2821</v>
      </c>
      <c r="O453" s="299"/>
      <c r="P453" s="299"/>
      <c r="Q453" s="299"/>
      <c r="R453" s="299"/>
      <c r="S453" s="299"/>
      <c r="T453" s="299" t="s">
        <v>256</v>
      </c>
      <c r="U453" s="299" t="s">
        <v>256</v>
      </c>
      <c r="V453" s="299" t="s">
        <v>256</v>
      </c>
      <c r="W453" s="299"/>
      <c r="X453" s="177" t="s">
        <v>2963</v>
      </c>
    </row>
    <row r="454" spans="1:24" ht="16.95" customHeight="1">
      <c r="A454" s="190" t="s">
        <v>2392</v>
      </c>
      <c r="B454" s="299">
        <v>7</v>
      </c>
      <c r="C454" s="299" t="s">
        <v>2429</v>
      </c>
      <c r="D454" s="299"/>
      <c r="E454" s="299" t="s">
        <v>256</v>
      </c>
      <c r="F454" s="191" t="s">
        <v>5971</v>
      </c>
      <c r="G454" s="190" t="s">
        <v>2439</v>
      </c>
      <c r="H454" s="299" t="s">
        <v>2498</v>
      </c>
      <c r="I454" s="299" t="s">
        <v>2500</v>
      </c>
      <c r="J454" s="299" t="s">
        <v>2960</v>
      </c>
      <c r="K454" s="190" t="s">
        <v>3364</v>
      </c>
      <c r="L454" s="192" t="s">
        <v>2964</v>
      </c>
      <c r="M454" s="193" t="s">
        <v>4462</v>
      </c>
      <c r="N454" s="307" t="s">
        <v>2826</v>
      </c>
      <c r="O454" s="299"/>
      <c r="P454" s="299"/>
      <c r="Q454" s="299"/>
      <c r="R454" s="299"/>
      <c r="S454" s="299"/>
      <c r="T454" s="299" t="s">
        <v>256</v>
      </c>
      <c r="U454" s="299"/>
      <c r="V454" s="299" t="s">
        <v>256</v>
      </c>
      <c r="W454" s="299"/>
      <c r="X454" s="177" t="s">
        <v>2959</v>
      </c>
    </row>
    <row r="455" spans="1:24" ht="16.95" customHeight="1">
      <c r="A455" s="190" t="s">
        <v>2298</v>
      </c>
      <c r="B455" s="299">
        <v>7</v>
      </c>
      <c r="C455" s="299" t="s">
        <v>2429</v>
      </c>
      <c r="D455" s="299"/>
      <c r="E455" s="299"/>
      <c r="F455" s="191" t="s">
        <v>6007</v>
      </c>
      <c r="G455" s="190" t="s">
        <v>2452</v>
      </c>
      <c r="H455" s="299" t="s">
        <v>2498</v>
      </c>
      <c r="I455" s="299"/>
      <c r="J455" s="299"/>
      <c r="K455" s="190"/>
      <c r="L455" s="192" t="s">
        <v>2465</v>
      </c>
      <c r="M455" s="193" t="s">
        <v>4463</v>
      </c>
      <c r="N455" s="307" t="s">
        <v>2839</v>
      </c>
      <c r="O455" s="299"/>
      <c r="P455" s="299" t="s">
        <v>256</v>
      </c>
      <c r="Q455" s="299"/>
      <c r="R455" s="299"/>
      <c r="S455" s="299"/>
      <c r="T455" s="299"/>
      <c r="U455" s="299"/>
      <c r="V455" s="299"/>
      <c r="W455" s="299"/>
      <c r="X455" s="177" t="s">
        <v>2959</v>
      </c>
    </row>
    <row r="456" spans="1:24" ht="16.95" customHeight="1">
      <c r="A456" s="182" t="s">
        <v>2939</v>
      </c>
      <c r="B456" s="297">
        <v>7</v>
      </c>
      <c r="C456" s="297" t="s">
        <v>2443</v>
      </c>
      <c r="D456" s="297"/>
      <c r="E456" s="297"/>
      <c r="F456" s="183" t="s">
        <v>2428</v>
      </c>
      <c r="G456" s="182" t="s">
        <v>2940</v>
      </c>
      <c r="H456" s="297" t="s">
        <v>2498</v>
      </c>
      <c r="I456" s="297" t="s">
        <v>2500</v>
      </c>
      <c r="J456" s="297" t="s">
        <v>2960</v>
      </c>
      <c r="K456" s="182" t="s">
        <v>3365</v>
      </c>
      <c r="L456" s="184" t="s">
        <v>2941</v>
      </c>
      <c r="M456" s="185" t="s">
        <v>4464</v>
      </c>
      <c r="N456" s="305" t="s">
        <v>3366</v>
      </c>
      <c r="O456" s="297" t="s">
        <v>256</v>
      </c>
      <c r="P456" s="297"/>
      <c r="Q456" s="297"/>
      <c r="R456" s="297"/>
      <c r="S456" s="297"/>
      <c r="T456" s="297" t="s">
        <v>256</v>
      </c>
      <c r="U456" s="297" t="s">
        <v>256</v>
      </c>
      <c r="V456" s="297" t="s">
        <v>256</v>
      </c>
      <c r="W456" s="297"/>
      <c r="X456" s="177" t="s">
        <v>2974</v>
      </c>
    </row>
    <row r="457" spans="1:24" ht="16.95" customHeight="1">
      <c r="A457" s="198" t="s">
        <v>3367</v>
      </c>
      <c r="B457" s="301">
        <v>7</v>
      </c>
      <c r="C457" s="301" t="s">
        <v>2425</v>
      </c>
      <c r="D457" s="301"/>
      <c r="E457" s="301"/>
      <c r="F457" s="199" t="s">
        <v>5971</v>
      </c>
      <c r="G457" s="198" t="s">
        <v>2475</v>
      </c>
      <c r="H457" s="301" t="s">
        <v>2498</v>
      </c>
      <c r="I457" s="301" t="s">
        <v>2500</v>
      </c>
      <c r="J457" s="301"/>
      <c r="K457" s="198"/>
      <c r="L457" s="200" t="s">
        <v>2494</v>
      </c>
      <c r="M457" s="201" t="s">
        <v>4465</v>
      </c>
      <c r="N457" s="309" t="s">
        <v>2830</v>
      </c>
      <c r="O457" s="301" t="s">
        <v>256</v>
      </c>
      <c r="P457" s="301" t="s">
        <v>256</v>
      </c>
      <c r="Q457" s="301"/>
      <c r="R457" s="301"/>
      <c r="S457" s="301"/>
      <c r="T457" s="301" t="s">
        <v>256</v>
      </c>
      <c r="U457" s="301" t="s">
        <v>256</v>
      </c>
      <c r="V457" s="301" t="s">
        <v>256</v>
      </c>
      <c r="W457" s="301"/>
      <c r="X457" s="177" t="s">
        <v>2959</v>
      </c>
    </row>
    <row r="458" spans="1:24" ht="16.95" customHeight="1">
      <c r="A458" s="194" t="s">
        <v>2312</v>
      </c>
      <c r="B458" s="300">
        <v>7</v>
      </c>
      <c r="C458" s="300" t="s">
        <v>2437</v>
      </c>
      <c r="D458" s="300"/>
      <c r="E458" s="300"/>
      <c r="F458" s="195" t="s">
        <v>5971</v>
      </c>
      <c r="G458" s="194" t="s">
        <v>2461</v>
      </c>
      <c r="H458" s="300" t="s">
        <v>2498</v>
      </c>
      <c r="I458" s="300" t="s">
        <v>2500</v>
      </c>
      <c r="J458" s="300"/>
      <c r="K458" s="194"/>
      <c r="L458" s="196" t="s">
        <v>2465</v>
      </c>
      <c r="M458" s="197" t="s">
        <v>4466</v>
      </c>
      <c r="N458" s="308" t="s">
        <v>2825</v>
      </c>
      <c r="O458" s="300"/>
      <c r="P458" s="300"/>
      <c r="Q458" s="300"/>
      <c r="R458" s="300"/>
      <c r="S458" s="300"/>
      <c r="T458" s="300" t="s">
        <v>256</v>
      </c>
      <c r="U458" s="300" t="s">
        <v>256</v>
      </c>
      <c r="V458" s="300" t="s">
        <v>256</v>
      </c>
      <c r="W458" s="300"/>
      <c r="X458" s="177" t="s">
        <v>2959</v>
      </c>
    </row>
    <row r="459" spans="1:24" ht="16.95" customHeight="1">
      <c r="A459" s="190" t="s">
        <v>2295</v>
      </c>
      <c r="B459" s="299">
        <v>7</v>
      </c>
      <c r="C459" s="299" t="s">
        <v>2429</v>
      </c>
      <c r="D459" s="299"/>
      <c r="E459" s="299"/>
      <c r="F459" s="191" t="s">
        <v>5971</v>
      </c>
      <c r="G459" s="190" t="s">
        <v>2439</v>
      </c>
      <c r="H459" s="299" t="s">
        <v>2498</v>
      </c>
      <c r="I459" s="299" t="s">
        <v>2500</v>
      </c>
      <c r="J459" s="299"/>
      <c r="K459" s="190"/>
      <c r="L459" s="192" t="s">
        <v>2465</v>
      </c>
      <c r="M459" s="193" t="s">
        <v>4467</v>
      </c>
      <c r="N459" s="307" t="s">
        <v>2837</v>
      </c>
      <c r="O459" s="299"/>
      <c r="P459" s="299" t="s">
        <v>256</v>
      </c>
      <c r="Q459" s="299" t="s">
        <v>256</v>
      </c>
      <c r="R459" s="299"/>
      <c r="S459" s="299"/>
      <c r="T459" s="299" t="s">
        <v>256</v>
      </c>
      <c r="U459" s="299"/>
      <c r="V459" s="299"/>
      <c r="W459" s="299"/>
      <c r="X459" s="177" t="s">
        <v>2959</v>
      </c>
    </row>
    <row r="460" spans="1:24" ht="16.95" customHeight="1">
      <c r="A460" s="190" t="s">
        <v>2315</v>
      </c>
      <c r="B460" s="299">
        <v>7</v>
      </c>
      <c r="C460" s="299" t="s">
        <v>2429</v>
      </c>
      <c r="D460" s="299"/>
      <c r="E460" s="299"/>
      <c r="F460" s="191" t="s">
        <v>5971</v>
      </c>
      <c r="G460" s="190" t="s">
        <v>2427</v>
      </c>
      <c r="H460" s="299" t="s">
        <v>2498</v>
      </c>
      <c r="I460" s="299" t="s">
        <v>2500</v>
      </c>
      <c r="J460" s="299" t="s">
        <v>2960</v>
      </c>
      <c r="K460" s="190" t="s">
        <v>3368</v>
      </c>
      <c r="L460" s="192" t="s">
        <v>2434</v>
      </c>
      <c r="M460" s="193" t="s">
        <v>4468</v>
      </c>
      <c r="N460" s="307" t="s">
        <v>2828</v>
      </c>
      <c r="O460" s="299" t="s">
        <v>256</v>
      </c>
      <c r="P460" s="299"/>
      <c r="Q460" s="299"/>
      <c r="R460" s="299"/>
      <c r="S460" s="299"/>
      <c r="T460" s="299"/>
      <c r="U460" s="299" t="s">
        <v>256</v>
      </c>
      <c r="V460" s="299" t="s">
        <v>256</v>
      </c>
      <c r="W460" s="299"/>
      <c r="X460" s="177" t="s">
        <v>2959</v>
      </c>
    </row>
    <row r="461" spans="1:24" ht="16.95" customHeight="1">
      <c r="A461" s="210" t="s">
        <v>2350</v>
      </c>
      <c r="B461" s="304">
        <v>7</v>
      </c>
      <c r="C461" s="304" t="s">
        <v>2450</v>
      </c>
      <c r="D461" s="304"/>
      <c r="E461" s="304"/>
      <c r="F461" s="211" t="s">
        <v>2428</v>
      </c>
      <c r="G461" s="210" t="s">
        <v>2470</v>
      </c>
      <c r="H461" s="304" t="s">
        <v>2498</v>
      </c>
      <c r="I461" s="304" t="s">
        <v>2500</v>
      </c>
      <c r="J461" s="304"/>
      <c r="K461" s="210"/>
      <c r="L461" s="212" t="s">
        <v>2432</v>
      </c>
      <c r="M461" s="213" t="s">
        <v>4469</v>
      </c>
      <c r="N461" s="312" t="s">
        <v>2835</v>
      </c>
      <c r="O461" s="304" t="s">
        <v>256</v>
      </c>
      <c r="P461" s="304"/>
      <c r="Q461" s="304" t="s">
        <v>256</v>
      </c>
      <c r="R461" s="304"/>
      <c r="S461" s="304"/>
      <c r="T461" s="304"/>
      <c r="U461" s="304"/>
      <c r="V461" s="304" t="s">
        <v>256</v>
      </c>
      <c r="W461" s="304"/>
      <c r="X461" s="177" t="s">
        <v>2959</v>
      </c>
    </row>
    <row r="462" spans="1:24" ht="16.95" customHeight="1">
      <c r="A462" s="182" t="s">
        <v>3369</v>
      </c>
      <c r="B462" s="297">
        <v>7</v>
      </c>
      <c r="C462" s="297" t="s">
        <v>2443</v>
      </c>
      <c r="D462" s="297"/>
      <c r="E462" s="297"/>
      <c r="F462" s="183" t="s">
        <v>2438</v>
      </c>
      <c r="G462" s="182" t="s">
        <v>2449</v>
      </c>
      <c r="H462" s="297" t="s">
        <v>2498</v>
      </c>
      <c r="I462" s="297" t="s">
        <v>2500</v>
      </c>
      <c r="J462" s="297" t="s">
        <v>2960</v>
      </c>
      <c r="K462" s="182" t="s">
        <v>3370</v>
      </c>
      <c r="L462" s="184" t="s">
        <v>2448</v>
      </c>
      <c r="M462" s="185" t="s">
        <v>4470</v>
      </c>
      <c r="N462" s="305" t="s">
        <v>3371</v>
      </c>
      <c r="O462" s="297" t="s">
        <v>256</v>
      </c>
      <c r="P462" s="297"/>
      <c r="Q462" s="297"/>
      <c r="R462" s="297"/>
      <c r="S462" s="297"/>
      <c r="T462" s="297"/>
      <c r="U462" s="297"/>
      <c r="V462" s="297" t="s">
        <v>256</v>
      </c>
      <c r="W462" s="297"/>
      <c r="X462" s="177" t="s">
        <v>2959</v>
      </c>
    </row>
    <row r="463" spans="1:24" ht="16.95" customHeight="1">
      <c r="A463" s="190" t="s">
        <v>3372</v>
      </c>
      <c r="B463" s="299">
        <v>7</v>
      </c>
      <c r="C463" s="299" t="s">
        <v>2429</v>
      </c>
      <c r="D463" s="299"/>
      <c r="E463" s="299" t="s">
        <v>256</v>
      </c>
      <c r="F463" s="191" t="s">
        <v>5971</v>
      </c>
      <c r="G463" s="190" t="s">
        <v>2461</v>
      </c>
      <c r="H463" s="299" t="s">
        <v>2498</v>
      </c>
      <c r="I463" s="299" t="s">
        <v>2500</v>
      </c>
      <c r="J463" s="299" t="s">
        <v>2960</v>
      </c>
      <c r="K463" s="190" t="s">
        <v>3373</v>
      </c>
      <c r="L463" s="192" t="s">
        <v>2964</v>
      </c>
      <c r="M463" s="193" t="s">
        <v>4471</v>
      </c>
      <c r="N463" s="307" t="s">
        <v>3374</v>
      </c>
      <c r="O463" s="299" t="s">
        <v>256</v>
      </c>
      <c r="P463" s="299"/>
      <c r="Q463" s="299"/>
      <c r="R463" s="299"/>
      <c r="S463" s="299"/>
      <c r="T463" s="299"/>
      <c r="U463" s="299"/>
      <c r="V463" s="299" t="s">
        <v>256</v>
      </c>
      <c r="W463" s="299"/>
      <c r="X463" s="177" t="s">
        <v>2959</v>
      </c>
    </row>
    <row r="464" spans="1:24" ht="16.95" customHeight="1">
      <c r="A464" s="182" t="s">
        <v>2293</v>
      </c>
      <c r="B464" s="297">
        <v>7</v>
      </c>
      <c r="C464" s="297" t="s">
        <v>2443</v>
      </c>
      <c r="D464" s="297"/>
      <c r="E464" s="297"/>
      <c r="F464" s="183" t="s">
        <v>5971</v>
      </c>
      <c r="G464" s="182" t="s">
        <v>2467</v>
      </c>
      <c r="H464" s="297" t="s">
        <v>2498</v>
      </c>
      <c r="I464" s="297" t="s">
        <v>2500</v>
      </c>
      <c r="J464" s="297" t="s">
        <v>2960</v>
      </c>
      <c r="K464" s="182" t="s">
        <v>3375</v>
      </c>
      <c r="L464" s="184" t="s">
        <v>2465</v>
      </c>
      <c r="M464" s="185" t="s">
        <v>4472</v>
      </c>
      <c r="N464" s="305" t="s">
        <v>2836</v>
      </c>
      <c r="O464" s="297"/>
      <c r="P464" s="297" t="s">
        <v>256</v>
      </c>
      <c r="Q464" s="297" t="s">
        <v>256</v>
      </c>
      <c r="R464" s="297"/>
      <c r="S464" s="297"/>
      <c r="T464" s="297" t="s">
        <v>256</v>
      </c>
      <c r="U464" s="297" t="s">
        <v>256</v>
      </c>
      <c r="V464" s="297" t="s">
        <v>256</v>
      </c>
      <c r="W464" s="297"/>
      <c r="X464" s="177" t="s">
        <v>2959</v>
      </c>
    </row>
    <row r="465" spans="1:24" ht="16.95" customHeight="1">
      <c r="A465" s="202" t="s">
        <v>2309</v>
      </c>
      <c r="B465" s="302">
        <v>7</v>
      </c>
      <c r="C465" s="302" t="s">
        <v>2967</v>
      </c>
      <c r="D465" s="302"/>
      <c r="E465" s="302"/>
      <c r="F465" s="203" t="s">
        <v>5971</v>
      </c>
      <c r="G465" s="202" t="s">
        <v>2461</v>
      </c>
      <c r="H465" s="302" t="s">
        <v>2498</v>
      </c>
      <c r="I465" s="302"/>
      <c r="J465" s="302"/>
      <c r="K465" s="202"/>
      <c r="L465" s="204" t="s">
        <v>2465</v>
      </c>
      <c r="M465" s="205" t="s">
        <v>4473</v>
      </c>
      <c r="N465" s="310" t="s">
        <v>2822</v>
      </c>
      <c r="O465" s="302"/>
      <c r="P465" s="302"/>
      <c r="Q465" s="302"/>
      <c r="R465" s="302"/>
      <c r="S465" s="302"/>
      <c r="T465" s="302" t="s">
        <v>256</v>
      </c>
      <c r="U465" s="302" t="s">
        <v>256</v>
      </c>
      <c r="V465" s="302" t="s">
        <v>256</v>
      </c>
      <c r="W465" s="302"/>
      <c r="X465" s="177" t="s">
        <v>2963</v>
      </c>
    </row>
    <row r="466" spans="1:24" ht="16.95" customHeight="1">
      <c r="A466" s="190" t="s">
        <v>2394</v>
      </c>
      <c r="B466" s="299">
        <v>7</v>
      </c>
      <c r="C466" s="299" t="s">
        <v>2429</v>
      </c>
      <c r="D466" s="299"/>
      <c r="E466" s="299"/>
      <c r="F466" s="191" t="s">
        <v>5971</v>
      </c>
      <c r="G466" s="190" t="s">
        <v>2493</v>
      </c>
      <c r="H466" s="299" t="s">
        <v>2498</v>
      </c>
      <c r="I466" s="299" t="s">
        <v>2500</v>
      </c>
      <c r="J466" s="299"/>
      <c r="K466" s="190"/>
      <c r="L466" s="192" t="s">
        <v>2465</v>
      </c>
      <c r="M466" s="193" t="s">
        <v>4474</v>
      </c>
      <c r="N466" s="307" t="s">
        <v>2827</v>
      </c>
      <c r="O466" s="299" t="s">
        <v>3078</v>
      </c>
      <c r="P466" s="299"/>
      <c r="Q466" s="299"/>
      <c r="R466" s="299"/>
      <c r="S466" s="299"/>
      <c r="T466" s="299" t="s">
        <v>256</v>
      </c>
      <c r="U466" s="299"/>
      <c r="V466" s="299" t="s">
        <v>256</v>
      </c>
      <c r="W466" s="299"/>
      <c r="X466" s="177" t="s">
        <v>2959</v>
      </c>
    </row>
    <row r="467" spans="1:24" ht="16.95" customHeight="1">
      <c r="A467" s="210" t="s">
        <v>2349</v>
      </c>
      <c r="B467" s="304">
        <v>7</v>
      </c>
      <c r="C467" s="304" t="s">
        <v>2450</v>
      </c>
      <c r="D467" s="304"/>
      <c r="E467" s="304" t="s">
        <v>256</v>
      </c>
      <c r="F467" s="211" t="s">
        <v>5971</v>
      </c>
      <c r="G467" s="210" t="s">
        <v>3376</v>
      </c>
      <c r="H467" s="304" t="s">
        <v>2498</v>
      </c>
      <c r="I467" s="304" t="s">
        <v>2500</v>
      </c>
      <c r="J467" s="304" t="s">
        <v>2960</v>
      </c>
      <c r="K467" s="210" t="s">
        <v>3377</v>
      </c>
      <c r="L467" s="212" t="s">
        <v>3331</v>
      </c>
      <c r="M467" s="213" t="s">
        <v>4475</v>
      </c>
      <c r="N467" s="312" t="s">
        <v>2834</v>
      </c>
      <c r="O467" s="304" t="s">
        <v>256</v>
      </c>
      <c r="P467" s="304"/>
      <c r="Q467" s="304"/>
      <c r="R467" s="304"/>
      <c r="S467" s="304"/>
      <c r="T467" s="304"/>
      <c r="U467" s="304"/>
      <c r="V467" s="304" t="s">
        <v>256</v>
      </c>
      <c r="W467" s="304"/>
      <c r="X467" s="177" t="s">
        <v>2959</v>
      </c>
    </row>
    <row r="468" spans="1:24" ht="16.95" customHeight="1">
      <c r="A468" s="198" t="s">
        <v>2289</v>
      </c>
      <c r="B468" s="301">
        <v>7</v>
      </c>
      <c r="C468" s="301" t="s">
        <v>2425</v>
      </c>
      <c r="D468" s="301"/>
      <c r="E468" s="301"/>
      <c r="F468" s="199" t="s">
        <v>2438</v>
      </c>
      <c r="G468" s="198" t="s">
        <v>2467</v>
      </c>
      <c r="H468" s="301" t="s">
        <v>2498</v>
      </c>
      <c r="I468" s="301" t="s">
        <v>2500</v>
      </c>
      <c r="J468" s="301" t="s">
        <v>2960</v>
      </c>
      <c r="K468" s="198" t="s">
        <v>3378</v>
      </c>
      <c r="L468" s="200" t="s">
        <v>2434</v>
      </c>
      <c r="M468" s="201" t="s">
        <v>4476</v>
      </c>
      <c r="N468" s="309" t="s">
        <v>2832</v>
      </c>
      <c r="O468" s="301" t="s">
        <v>256</v>
      </c>
      <c r="P468" s="301" t="s">
        <v>256</v>
      </c>
      <c r="Q468" s="301" t="s">
        <v>256</v>
      </c>
      <c r="R468" s="301"/>
      <c r="S468" s="301"/>
      <c r="T468" s="301"/>
      <c r="U468" s="301"/>
      <c r="V468" s="301"/>
      <c r="W468" s="301"/>
      <c r="X468" s="177" t="s">
        <v>2959</v>
      </c>
    </row>
    <row r="469" spans="1:24" ht="16.95" customHeight="1">
      <c r="A469" s="194" t="s">
        <v>2292</v>
      </c>
      <c r="B469" s="300">
        <v>7</v>
      </c>
      <c r="C469" s="300" t="s">
        <v>2437</v>
      </c>
      <c r="D469" s="300"/>
      <c r="E469" s="300"/>
      <c r="F469" s="195" t="s">
        <v>2434</v>
      </c>
      <c r="G469" s="194" t="s">
        <v>2467</v>
      </c>
      <c r="H469" s="300" t="s">
        <v>2498</v>
      </c>
      <c r="I469" s="300" t="s">
        <v>2500</v>
      </c>
      <c r="J469" s="300" t="s">
        <v>2960</v>
      </c>
      <c r="K469" s="194" t="s">
        <v>3379</v>
      </c>
      <c r="L469" s="196" t="s">
        <v>2465</v>
      </c>
      <c r="M469" s="197" t="s">
        <v>4477</v>
      </c>
      <c r="N469" s="308" t="s">
        <v>2833</v>
      </c>
      <c r="O469" s="300" t="s">
        <v>256</v>
      </c>
      <c r="P469" s="300" t="s">
        <v>256</v>
      </c>
      <c r="Q469" s="300"/>
      <c r="R469" s="300"/>
      <c r="S469" s="300"/>
      <c r="T469" s="300"/>
      <c r="U469" s="300"/>
      <c r="V469" s="300"/>
      <c r="W469" s="300"/>
      <c r="X469" s="177" t="s">
        <v>2959</v>
      </c>
    </row>
    <row r="470" spans="1:24" ht="16.95" customHeight="1">
      <c r="A470" s="198" t="s">
        <v>2378</v>
      </c>
      <c r="B470" s="301">
        <v>7</v>
      </c>
      <c r="C470" s="301" t="s">
        <v>2425</v>
      </c>
      <c r="D470" s="301"/>
      <c r="E470" s="301" t="s">
        <v>256</v>
      </c>
      <c r="F470" s="199" t="s">
        <v>5971</v>
      </c>
      <c r="G470" s="198" t="s">
        <v>2427</v>
      </c>
      <c r="H470" s="301" t="s">
        <v>2498</v>
      </c>
      <c r="I470" s="301" t="s">
        <v>2500</v>
      </c>
      <c r="J470" s="301" t="s">
        <v>2960</v>
      </c>
      <c r="K470" s="198" t="s">
        <v>3380</v>
      </c>
      <c r="L470" s="200" t="s">
        <v>2964</v>
      </c>
      <c r="M470" s="201" t="s">
        <v>4478</v>
      </c>
      <c r="N470" s="309" t="s">
        <v>2842</v>
      </c>
      <c r="O470" s="301"/>
      <c r="P470" s="301"/>
      <c r="Q470" s="301" t="s">
        <v>256</v>
      </c>
      <c r="R470" s="301"/>
      <c r="S470" s="301"/>
      <c r="T470" s="301" t="s">
        <v>256</v>
      </c>
      <c r="U470" s="301"/>
      <c r="V470" s="301" t="s">
        <v>256</v>
      </c>
      <c r="W470" s="301"/>
      <c r="X470" s="177" t="s">
        <v>2959</v>
      </c>
    </row>
    <row r="471" spans="1:24" ht="16.95" customHeight="1">
      <c r="A471" s="198" t="s">
        <v>2409</v>
      </c>
      <c r="B471" s="301">
        <v>7</v>
      </c>
      <c r="C471" s="301" t="s">
        <v>2425</v>
      </c>
      <c r="D471" s="301"/>
      <c r="E471" s="301"/>
      <c r="F471" s="199" t="s">
        <v>5971</v>
      </c>
      <c r="G471" s="198" t="s">
        <v>2467</v>
      </c>
      <c r="H471" s="301" t="s">
        <v>2498</v>
      </c>
      <c r="I471" s="301" t="s">
        <v>2500</v>
      </c>
      <c r="J471" s="301" t="s">
        <v>2960</v>
      </c>
      <c r="K471" s="198" t="s">
        <v>3381</v>
      </c>
      <c r="L471" s="200" t="s">
        <v>2612</v>
      </c>
      <c r="M471" s="201" t="s">
        <v>4479</v>
      </c>
      <c r="N471" s="309" t="s">
        <v>2840</v>
      </c>
      <c r="O471" s="301"/>
      <c r="P471" s="301"/>
      <c r="Q471" s="301"/>
      <c r="R471" s="301"/>
      <c r="S471" s="301"/>
      <c r="T471" s="301"/>
      <c r="U471" s="301"/>
      <c r="V471" s="301" t="s">
        <v>256</v>
      </c>
      <c r="W471" s="301"/>
      <c r="X471" s="177" t="s">
        <v>2959</v>
      </c>
    </row>
    <row r="472" spans="1:24" ht="16.95" customHeight="1">
      <c r="A472" s="210" t="s">
        <v>2410</v>
      </c>
      <c r="B472" s="304">
        <v>7</v>
      </c>
      <c r="C472" s="304" t="s">
        <v>2450</v>
      </c>
      <c r="D472" s="304"/>
      <c r="E472" s="304"/>
      <c r="F472" s="211" t="s">
        <v>2451</v>
      </c>
      <c r="G472" s="210" t="s">
        <v>2467</v>
      </c>
      <c r="H472" s="304" t="s">
        <v>2498</v>
      </c>
      <c r="I472" s="304" t="s">
        <v>2500</v>
      </c>
      <c r="J472" s="304" t="s">
        <v>2960</v>
      </c>
      <c r="K472" s="210" t="s">
        <v>3382</v>
      </c>
      <c r="L472" s="212" t="s">
        <v>2612</v>
      </c>
      <c r="M472" s="213" t="s">
        <v>4480</v>
      </c>
      <c r="N472" s="312" t="s">
        <v>2841</v>
      </c>
      <c r="O472" s="304"/>
      <c r="P472" s="304"/>
      <c r="Q472" s="304"/>
      <c r="R472" s="304"/>
      <c r="S472" s="304"/>
      <c r="T472" s="304"/>
      <c r="U472" s="304"/>
      <c r="V472" s="304" t="s">
        <v>256</v>
      </c>
      <c r="W472" s="304"/>
      <c r="X472" s="177" t="s">
        <v>2959</v>
      </c>
    </row>
    <row r="473" spans="1:24" ht="16.95" customHeight="1">
      <c r="A473" s="186" t="s">
        <v>5270</v>
      </c>
      <c r="B473" s="298">
        <v>7</v>
      </c>
      <c r="C473" s="298" t="s">
        <v>2433</v>
      </c>
      <c r="D473" s="298"/>
      <c r="E473" s="298"/>
      <c r="F473" s="187" t="s">
        <v>2438</v>
      </c>
      <c r="G473" s="186" t="s">
        <v>2467</v>
      </c>
      <c r="H473" s="298" t="s">
        <v>2498</v>
      </c>
      <c r="I473" s="298" t="s">
        <v>2500</v>
      </c>
      <c r="J473" s="298" t="s">
        <v>2960</v>
      </c>
      <c r="K473" s="186" t="s">
        <v>3383</v>
      </c>
      <c r="L473" s="188" t="s">
        <v>2474</v>
      </c>
      <c r="M473" s="189" t="s">
        <v>4481</v>
      </c>
      <c r="N473" s="306" t="s">
        <v>2831</v>
      </c>
      <c r="O473" s="298" t="s">
        <v>256</v>
      </c>
      <c r="P473" s="298" t="s">
        <v>256</v>
      </c>
      <c r="Q473" s="298" t="s">
        <v>3078</v>
      </c>
      <c r="R473" s="298"/>
      <c r="S473" s="298"/>
      <c r="T473" s="298"/>
      <c r="U473" s="298"/>
      <c r="V473" s="298" t="s">
        <v>256</v>
      </c>
      <c r="W473" s="298"/>
      <c r="X473" s="177" t="s">
        <v>2959</v>
      </c>
    </row>
    <row r="474" spans="1:24" ht="16.95" customHeight="1">
      <c r="A474" s="182" t="s">
        <v>2338</v>
      </c>
      <c r="B474" s="297">
        <v>7</v>
      </c>
      <c r="C474" s="297" t="s">
        <v>2443</v>
      </c>
      <c r="D474" s="297"/>
      <c r="E474" s="297"/>
      <c r="F474" s="183" t="s">
        <v>5971</v>
      </c>
      <c r="G474" s="182" t="s">
        <v>2431</v>
      </c>
      <c r="H474" s="297" t="s">
        <v>2498</v>
      </c>
      <c r="I474" s="297"/>
      <c r="J474" s="297"/>
      <c r="K474" s="182"/>
      <c r="L474" s="184" t="s">
        <v>2465</v>
      </c>
      <c r="M474" s="185" t="s">
        <v>4548</v>
      </c>
      <c r="N474" s="305" t="s">
        <v>2829</v>
      </c>
      <c r="O474" s="297" t="s">
        <v>256</v>
      </c>
      <c r="P474" s="297"/>
      <c r="Q474" s="297"/>
      <c r="R474" s="297"/>
      <c r="S474" s="297"/>
      <c r="T474" s="297" t="s">
        <v>256</v>
      </c>
      <c r="U474" s="297"/>
      <c r="V474" s="297" t="s">
        <v>256</v>
      </c>
      <c r="W474" s="297"/>
      <c r="X474" s="177" t="s">
        <v>2959</v>
      </c>
    </row>
    <row r="475" spans="1:24" ht="16.95" customHeight="1">
      <c r="A475" s="182" t="s">
        <v>2299</v>
      </c>
      <c r="B475" s="297">
        <v>7</v>
      </c>
      <c r="C475" s="297" t="s">
        <v>2443</v>
      </c>
      <c r="D475" s="297"/>
      <c r="E475" s="297"/>
      <c r="F475" s="183" t="s">
        <v>2434</v>
      </c>
      <c r="G475" s="182" t="s">
        <v>2435</v>
      </c>
      <c r="H475" s="297" t="s">
        <v>2498</v>
      </c>
      <c r="I475" s="297" t="s">
        <v>2500</v>
      </c>
      <c r="J475" s="297" t="s">
        <v>2960</v>
      </c>
      <c r="K475" s="182" t="s">
        <v>3384</v>
      </c>
      <c r="L475" s="184" t="s">
        <v>2448</v>
      </c>
      <c r="M475" s="185" t="s">
        <v>4482</v>
      </c>
      <c r="N475" s="305" t="s">
        <v>2823</v>
      </c>
      <c r="O475" s="297"/>
      <c r="P475" s="297" t="s">
        <v>256</v>
      </c>
      <c r="Q475" s="297"/>
      <c r="R475" s="297"/>
      <c r="S475" s="297"/>
      <c r="T475" s="297"/>
      <c r="U475" s="297"/>
      <c r="V475" s="297"/>
      <c r="W475" s="297"/>
      <c r="X475" s="177" t="s">
        <v>2963</v>
      </c>
    </row>
    <row r="476" spans="1:24" ht="16.95" customHeight="1">
      <c r="A476" s="194" t="s">
        <v>3385</v>
      </c>
      <c r="B476" s="300">
        <v>7</v>
      </c>
      <c r="C476" s="300" t="s">
        <v>2437</v>
      </c>
      <c r="D476" s="300"/>
      <c r="E476" s="300" t="s">
        <v>256</v>
      </c>
      <c r="F476" s="195" t="s">
        <v>5971</v>
      </c>
      <c r="G476" s="194" t="s">
        <v>2461</v>
      </c>
      <c r="H476" s="300" t="s">
        <v>2498</v>
      </c>
      <c r="I476" s="300" t="s">
        <v>2500</v>
      </c>
      <c r="J476" s="300" t="s">
        <v>2960</v>
      </c>
      <c r="K476" s="194" t="s">
        <v>3386</v>
      </c>
      <c r="L476" s="196" t="s">
        <v>3013</v>
      </c>
      <c r="M476" s="197" t="s">
        <v>4483</v>
      </c>
      <c r="N476" s="308" t="s">
        <v>3387</v>
      </c>
      <c r="O476" s="300"/>
      <c r="P476" s="300"/>
      <c r="Q476" s="300"/>
      <c r="R476" s="300"/>
      <c r="S476" s="300"/>
      <c r="T476" s="300"/>
      <c r="U476" s="300"/>
      <c r="V476" s="300" t="s">
        <v>256</v>
      </c>
      <c r="W476" s="300"/>
      <c r="X476" s="177" t="s">
        <v>2979</v>
      </c>
    </row>
    <row r="477" spans="1:24" ht="16.95" customHeight="1">
      <c r="A477" s="190" t="s">
        <v>2377</v>
      </c>
      <c r="B477" s="299">
        <v>7</v>
      </c>
      <c r="C477" s="299" t="s">
        <v>2429</v>
      </c>
      <c r="D477" s="299"/>
      <c r="E477" s="299" t="s">
        <v>256</v>
      </c>
      <c r="F477" s="191" t="s">
        <v>5971</v>
      </c>
      <c r="G477" s="190" t="s">
        <v>2449</v>
      </c>
      <c r="H477" s="299" t="s">
        <v>2498</v>
      </c>
      <c r="I477" s="299"/>
      <c r="J477" s="299" t="s">
        <v>2960</v>
      </c>
      <c r="K477" s="190" t="s">
        <v>3388</v>
      </c>
      <c r="L477" s="192" t="s">
        <v>2964</v>
      </c>
      <c r="M477" s="193" t="s">
        <v>4549</v>
      </c>
      <c r="N477" s="307" t="s">
        <v>2824</v>
      </c>
      <c r="O477" s="299"/>
      <c r="P477" s="299"/>
      <c r="Q477" s="299" t="s">
        <v>256</v>
      </c>
      <c r="R477" s="299"/>
      <c r="S477" s="299"/>
      <c r="T477" s="299" t="s">
        <v>256</v>
      </c>
      <c r="U477" s="299"/>
      <c r="V477" s="299" t="s">
        <v>256</v>
      </c>
      <c r="W477" s="299"/>
      <c r="X477" s="177" t="s">
        <v>2963</v>
      </c>
    </row>
    <row r="478" spans="1:24" ht="16.95" customHeight="1">
      <c r="A478" s="198" t="s">
        <v>3389</v>
      </c>
      <c r="B478" s="301">
        <v>7</v>
      </c>
      <c r="C478" s="301" t="s">
        <v>2425</v>
      </c>
      <c r="D478" s="301"/>
      <c r="E478" s="301" t="s">
        <v>256</v>
      </c>
      <c r="F478" s="199" t="s">
        <v>6007</v>
      </c>
      <c r="G478" s="198" t="s">
        <v>2475</v>
      </c>
      <c r="H478" s="301" t="s">
        <v>2498</v>
      </c>
      <c r="I478" s="301" t="s">
        <v>2500</v>
      </c>
      <c r="J478" s="301" t="s">
        <v>2960</v>
      </c>
      <c r="K478" s="198" t="s">
        <v>3390</v>
      </c>
      <c r="L478" s="200" t="s">
        <v>2964</v>
      </c>
      <c r="M478" s="201" t="s">
        <v>4484</v>
      </c>
      <c r="N478" s="309" t="s">
        <v>3391</v>
      </c>
      <c r="O478" s="301"/>
      <c r="P478" s="301"/>
      <c r="Q478" s="301" t="s">
        <v>256</v>
      </c>
      <c r="R478" s="301"/>
      <c r="S478" s="301"/>
      <c r="T478" s="301" t="s">
        <v>256</v>
      </c>
      <c r="U478" s="301"/>
      <c r="V478" s="301" t="s">
        <v>256</v>
      </c>
      <c r="W478" s="301"/>
      <c r="X478" s="385" t="s">
        <v>3123</v>
      </c>
    </row>
    <row r="479" spans="1:24" ht="16.95" customHeight="1">
      <c r="A479" s="194" t="s">
        <v>3392</v>
      </c>
      <c r="B479" s="300">
        <v>8</v>
      </c>
      <c r="C479" s="300" t="s">
        <v>2437</v>
      </c>
      <c r="D479" s="300"/>
      <c r="E479" s="300"/>
      <c r="F479" s="195" t="s">
        <v>5971</v>
      </c>
      <c r="G479" s="194" t="s">
        <v>2439</v>
      </c>
      <c r="H479" s="300" t="s">
        <v>2498</v>
      </c>
      <c r="I479" s="300" t="s">
        <v>2500</v>
      </c>
      <c r="J479" s="300" t="s">
        <v>2960</v>
      </c>
      <c r="K479" s="194" t="s">
        <v>3393</v>
      </c>
      <c r="L479" s="196" t="s">
        <v>2465</v>
      </c>
      <c r="M479" s="197" t="s">
        <v>4485</v>
      </c>
      <c r="N479" s="308" t="s">
        <v>3394</v>
      </c>
      <c r="O479" s="300"/>
      <c r="P479" s="300"/>
      <c r="Q479" s="300"/>
      <c r="R479" s="300"/>
      <c r="S479" s="300"/>
      <c r="T479" s="300" t="s">
        <v>256</v>
      </c>
      <c r="U479" s="300"/>
      <c r="V479" s="300" t="s">
        <v>256</v>
      </c>
      <c r="W479" s="300"/>
      <c r="X479" s="177" t="s">
        <v>2963</v>
      </c>
    </row>
    <row r="480" spans="1:24" ht="16.95" customHeight="1">
      <c r="A480" s="198" t="s">
        <v>2380</v>
      </c>
      <c r="B480" s="301">
        <v>8</v>
      </c>
      <c r="C480" s="301" t="s">
        <v>2425</v>
      </c>
      <c r="D480" s="301"/>
      <c r="E480" s="301" t="s">
        <v>256</v>
      </c>
      <c r="F480" s="199" t="s">
        <v>5971</v>
      </c>
      <c r="G480" s="198" t="s">
        <v>2452</v>
      </c>
      <c r="H480" s="301" t="s">
        <v>2498</v>
      </c>
      <c r="I480" s="301" t="s">
        <v>2500</v>
      </c>
      <c r="J480" s="301"/>
      <c r="K480" s="198"/>
      <c r="L480" s="200" t="s">
        <v>3395</v>
      </c>
      <c r="M480" s="201" t="s">
        <v>4486</v>
      </c>
      <c r="N480" s="309" t="s">
        <v>2863</v>
      </c>
      <c r="O480" s="301"/>
      <c r="P480" s="301"/>
      <c r="Q480" s="301" t="s">
        <v>256</v>
      </c>
      <c r="R480" s="301"/>
      <c r="S480" s="301"/>
      <c r="T480" s="301"/>
      <c r="U480" s="301"/>
      <c r="V480" s="301"/>
      <c r="W480" s="301"/>
      <c r="X480" s="177" t="s">
        <v>2959</v>
      </c>
    </row>
    <row r="481" spans="1:24" ht="16.95" customHeight="1">
      <c r="A481" s="186" t="s">
        <v>2301</v>
      </c>
      <c r="B481" s="298">
        <v>8</v>
      </c>
      <c r="C481" s="298" t="s">
        <v>2433</v>
      </c>
      <c r="D481" s="298"/>
      <c r="E481" s="298" t="s">
        <v>256</v>
      </c>
      <c r="F481" s="187" t="s">
        <v>5971</v>
      </c>
      <c r="G481" s="186" t="s">
        <v>2483</v>
      </c>
      <c r="H481" s="298" t="s">
        <v>2498</v>
      </c>
      <c r="I481" s="298" t="s">
        <v>2500</v>
      </c>
      <c r="J481" s="298" t="s">
        <v>2960</v>
      </c>
      <c r="K481" s="186" t="s">
        <v>3396</v>
      </c>
      <c r="L481" s="188" t="s">
        <v>3013</v>
      </c>
      <c r="M481" s="189" t="s">
        <v>4487</v>
      </c>
      <c r="N481" s="306" t="s">
        <v>2853</v>
      </c>
      <c r="O481" s="298"/>
      <c r="P481" s="298" t="s">
        <v>256</v>
      </c>
      <c r="Q481" s="298"/>
      <c r="R481" s="298"/>
      <c r="S481" s="298"/>
      <c r="T481" s="298"/>
      <c r="U481" s="298"/>
      <c r="V481" s="298" t="s">
        <v>256</v>
      </c>
      <c r="W481" s="298"/>
      <c r="X481" s="177" t="s">
        <v>2959</v>
      </c>
    </row>
    <row r="482" spans="1:24" ht="16.95" customHeight="1">
      <c r="A482" s="202" t="s">
        <v>3397</v>
      </c>
      <c r="B482" s="302">
        <v>8</v>
      </c>
      <c r="C482" s="302" t="s">
        <v>2967</v>
      </c>
      <c r="D482" s="302"/>
      <c r="E482" s="302"/>
      <c r="F482" s="203" t="s">
        <v>2434</v>
      </c>
      <c r="G482" s="202" t="s">
        <v>2461</v>
      </c>
      <c r="H482" s="302" t="s">
        <v>2498</v>
      </c>
      <c r="I482" s="302" t="s">
        <v>2500</v>
      </c>
      <c r="J482" s="302" t="s">
        <v>2960</v>
      </c>
      <c r="K482" s="202" t="s">
        <v>3398</v>
      </c>
      <c r="L482" s="204" t="s">
        <v>2436</v>
      </c>
      <c r="M482" s="205" t="s">
        <v>4488</v>
      </c>
      <c r="N482" s="310" t="s">
        <v>2862</v>
      </c>
      <c r="O482" s="302" t="s">
        <v>3078</v>
      </c>
      <c r="P482" s="302"/>
      <c r="Q482" s="302" t="s">
        <v>256</v>
      </c>
      <c r="R482" s="302"/>
      <c r="S482" s="302"/>
      <c r="T482" s="302"/>
      <c r="U482" s="302"/>
      <c r="V482" s="302" t="s">
        <v>256</v>
      </c>
      <c r="W482" s="302"/>
      <c r="X482" s="177" t="s">
        <v>2959</v>
      </c>
    </row>
    <row r="483" spans="1:24" ht="16.95" customHeight="1">
      <c r="A483" s="194" t="s">
        <v>2411</v>
      </c>
      <c r="B483" s="300">
        <v>8</v>
      </c>
      <c r="C483" s="300" t="s">
        <v>2437</v>
      </c>
      <c r="D483" s="300"/>
      <c r="E483" s="300"/>
      <c r="F483" s="195" t="s">
        <v>2434</v>
      </c>
      <c r="G483" s="194" t="s">
        <v>2467</v>
      </c>
      <c r="H483" s="300" t="s">
        <v>2498</v>
      </c>
      <c r="I483" s="300" t="s">
        <v>2500</v>
      </c>
      <c r="J483" s="300" t="s">
        <v>2960</v>
      </c>
      <c r="K483" s="194" t="s">
        <v>3399</v>
      </c>
      <c r="L483" s="196" t="s">
        <v>2465</v>
      </c>
      <c r="M483" s="197" t="s">
        <v>4489</v>
      </c>
      <c r="N483" s="308" t="s">
        <v>2857</v>
      </c>
      <c r="O483" s="300"/>
      <c r="P483" s="300"/>
      <c r="Q483" s="300"/>
      <c r="R483" s="300"/>
      <c r="S483" s="300"/>
      <c r="T483" s="300"/>
      <c r="U483" s="300"/>
      <c r="V483" s="300" t="s">
        <v>256</v>
      </c>
      <c r="W483" s="300"/>
      <c r="X483" s="177" t="s">
        <v>2959</v>
      </c>
    </row>
    <row r="484" spans="1:24" ht="16.95" customHeight="1">
      <c r="A484" s="198" t="s">
        <v>2307</v>
      </c>
      <c r="B484" s="301">
        <v>8</v>
      </c>
      <c r="C484" s="301" t="s">
        <v>2425</v>
      </c>
      <c r="D484" s="301"/>
      <c r="E484" s="301" t="s">
        <v>256</v>
      </c>
      <c r="F484" s="199" t="s">
        <v>2428</v>
      </c>
      <c r="G484" s="198" t="s">
        <v>3400</v>
      </c>
      <c r="H484" s="301" t="s">
        <v>2498</v>
      </c>
      <c r="I484" s="301" t="s">
        <v>2500</v>
      </c>
      <c r="J484" s="301" t="s">
        <v>2960</v>
      </c>
      <c r="K484" s="198" t="s">
        <v>3401</v>
      </c>
      <c r="L484" s="200" t="s">
        <v>3109</v>
      </c>
      <c r="M484" s="201" t="s">
        <v>4550</v>
      </c>
      <c r="N484" s="309" t="s">
        <v>2855</v>
      </c>
      <c r="O484" s="301"/>
      <c r="P484" s="301" t="s">
        <v>256</v>
      </c>
      <c r="Q484" s="301" t="s">
        <v>256</v>
      </c>
      <c r="R484" s="301"/>
      <c r="S484" s="301"/>
      <c r="T484" s="301"/>
      <c r="U484" s="301"/>
      <c r="V484" s="301" t="s">
        <v>256</v>
      </c>
      <c r="W484" s="301"/>
      <c r="X484" s="177" t="s">
        <v>2959</v>
      </c>
    </row>
    <row r="485" spans="1:24" ht="16.95" customHeight="1">
      <c r="A485" s="190" t="s">
        <v>3402</v>
      </c>
      <c r="B485" s="299">
        <v>8</v>
      </c>
      <c r="C485" s="299" t="s">
        <v>2429</v>
      </c>
      <c r="D485" s="299"/>
      <c r="E485" s="299" t="s">
        <v>256</v>
      </c>
      <c r="F485" s="191" t="s">
        <v>5971</v>
      </c>
      <c r="G485" s="190" t="s">
        <v>2439</v>
      </c>
      <c r="H485" s="299" t="s">
        <v>2498</v>
      </c>
      <c r="I485" s="299" t="s">
        <v>2500</v>
      </c>
      <c r="J485" s="299" t="s">
        <v>2960</v>
      </c>
      <c r="K485" s="190" t="s">
        <v>3403</v>
      </c>
      <c r="L485" s="192" t="s">
        <v>2964</v>
      </c>
      <c r="M485" s="193" t="s">
        <v>4490</v>
      </c>
      <c r="N485" s="307" t="s">
        <v>3404</v>
      </c>
      <c r="O485" s="299"/>
      <c r="P485" s="299"/>
      <c r="Q485" s="299"/>
      <c r="R485" s="299"/>
      <c r="S485" s="299"/>
      <c r="T485" s="299"/>
      <c r="U485" s="299"/>
      <c r="V485" s="299" t="s">
        <v>256</v>
      </c>
      <c r="W485" s="299"/>
      <c r="X485" s="177" t="s">
        <v>2979</v>
      </c>
    </row>
    <row r="486" spans="1:24" ht="16.95" customHeight="1">
      <c r="A486" s="182" t="s">
        <v>2322</v>
      </c>
      <c r="B486" s="297">
        <v>8</v>
      </c>
      <c r="C486" s="297" t="s">
        <v>2443</v>
      </c>
      <c r="D486" s="297"/>
      <c r="E486" s="297"/>
      <c r="F486" s="183" t="s">
        <v>5971</v>
      </c>
      <c r="G486" s="182" t="s">
        <v>2461</v>
      </c>
      <c r="H486" s="297"/>
      <c r="I486" s="297" t="s">
        <v>2500</v>
      </c>
      <c r="J486" s="297"/>
      <c r="K486" s="182"/>
      <c r="L486" s="184" t="s">
        <v>2434</v>
      </c>
      <c r="M486" s="185" t="s">
        <v>4491</v>
      </c>
      <c r="N486" s="305" t="s">
        <v>2846</v>
      </c>
      <c r="O486" s="297"/>
      <c r="P486" s="297"/>
      <c r="Q486" s="297"/>
      <c r="R486" s="297"/>
      <c r="S486" s="297"/>
      <c r="T486" s="297" t="s">
        <v>3078</v>
      </c>
      <c r="U486" s="297" t="s">
        <v>256</v>
      </c>
      <c r="V486" s="297" t="s">
        <v>256</v>
      </c>
      <c r="W486" s="297"/>
      <c r="X486" s="177" t="s">
        <v>2959</v>
      </c>
    </row>
    <row r="487" spans="1:24" ht="16.95" customHeight="1">
      <c r="A487" s="202" t="s">
        <v>2328</v>
      </c>
      <c r="B487" s="302">
        <v>8</v>
      </c>
      <c r="C487" s="302" t="s">
        <v>2967</v>
      </c>
      <c r="D487" s="302"/>
      <c r="E487" s="302" t="s">
        <v>256</v>
      </c>
      <c r="F487" s="203" t="s">
        <v>5971</v>
      </c>
      <c r="G487" s="202" t="s">
        <v>2461</v>
      </c>
      <c r="H487" s="302" t="s">
        <v>2498</v>
      </c>
      <c r="I487" s="302" t="s">
        <v>2500</v>
      </c>
      <c r="J487" s="302"/>
      <c r="K487" s="202"/>
      <c r="L487" s="204" t="s">
        <v>3013</v>
      </c>
      <c r="M487" s="205" t="s">
        <v>4492</v>
      </c>
      <c r="N487" s="310" t="s">
        <v>2849</v>
      </c>
      <c r="O487" s="302" t="s">
        <v>256</v>
      </c>
      <c r="P487" s="302"/>
      <c r="Q487" s="302"/>
      <c r="R487" s="302"/>
      <c r="S487" s="302"/>
      <c r="T487" s="302" t="s">
        <v>256</v>
      </c>
      <c r="U487" s="302" t="s">
        <v>256</v>
      </c>
      <c r="V487" s="302" t="s">
        <v>256</v>
      </c>
      <c r="W487" s="302"/>
      <c r="X487" s="177" t="s">
        <v>2959</v>
      </c>
    </row>
    <row r="488" spans="1:24" ht="16.95" customHeight="1">
      <c r="A488" s="190" t="s">
        <v>2304</v>
      </c>
      <c r="B488" s="299">
        <v>8</v>
      </c>
      <c r="C488" s="299" t="s">
        <v>2429</v>
      </c>
      <c r="D488" s="299"/>
      <c r="E488" s="299" t="s">
        <v>256</v>
      </c>
      <c r="F488" s="191" t="s">
        <v>5971</v>
      </c>
      <c r="G488" s="190" t="s">
        <v>2454</v>
      </c>
      <c r="H488" s="299" t="s">
        <v>2498</v>
      </c>
      <c r="I488" s="299" t="s">
        <v>2500</v>
      </c>
      <c r="J488" s="299" t="s">
        <v>2960</v>
      </c>
      <c r="K488" s="190" t="s">
        <v>3405</v>
      </c>
      <c r="L488" s="192" t="s">
        <v>2964</v>
      </c>
      <c r="M488" s="193" t="s">
        <v>4551</v>
      </c>
      <c r="N488" s="307" t="s">
        <v>2854</v>
      </c>
      <c r="O488" s="299"/>
      <c r="P488" s="299" t="s">
        <v>256</v>
      </c>
      <c r="Q488" s="299" t="s">
        <v>256</v>
      </c>
      <c r="R488" s="299"/>
      <c r="S488" s="299"/>
      <c r="T488" s="299" t="s">
        <v>256</v>
      </c>
      <c r="U488" s="299"/>
      <c r="V488" s="299"/>
      <c r="W488" s="299"/>
      <c r="X488" s="177" t="s">
        <v>2959</v>
      </c>
    </row>
    <row r="489" spans="1:24" ht="16.95" customHeight="1">
      <c r="A489" s="202" t="s">
        <v>2334</v>
      </c>
      <c r="B489" s="302">
        <v>8</v>
      </c>
      <c r="C489" s="302" t="s">
        <v>2967</v>
      </c>
      <c r="D489" s="302"/>
      <c r="E489" s="302"/>
      <c r="F489" s="203" t="s">
        <v>5971</v>
      </c>
      <c r="G489" s="202" t="s">
        <v>2439</v>
      </c>
      <c r="H489" s="302" t="s">
        <v>2498</v>
      </c>
      <c r="I489" s="302" t="s">
        <v>2500</v>
      </c>
      <c r="J489" s="302" t="s">
        <v>2960</v>
      </c>
      <c r="K489" s="202" t="s">
        <v>3406</v>
      </c>
      <c r="L489" s="204" t="s">
        <v>2465</v>
      </c>
      <c r="M489" s="205" t="s">
        <v>4493</v>
      </c>
      <c r="N489" s="310" t="s">
        <v>2852</v>
      </c>
      <c r="O489" s="302" t="s">
        <v>256</v>
      </c>
      <c r="P489" s="302"/>
      <c r="Q489" s="302" t="s">
        <v>256</v>
      </c>
      <c r="R489" s="302"/>
      <c r="S489" s="302"/>
      <c r="T489" s="302"/>
      <c r="U489" s="302" t="s">
        <v>256</v>
      </c>
      <c r="V489" s="302" t="s">
        <v>256</v>
      </c>
      <c r="W489" s="302"/>
      <c r="X489" s="177" t="s">
        <v>2959</v>
      </c>
    </row>
    <row r="490" spans="1:24" ht="16.95" customHeight="1">
      <c r="A490" s="198" t="s">
        <v>2324</v>
      </c>
      <c r="B490" s="301">
        <v>8</v>
      </c>
      <c r="C490" s="301" t="s">
        <v>2425</v>
      </c>
      <c r="D490" s="301"/>
      <c r="E490" s="301"/>
      <c r="F490" s="199" t="s">
        <v>5971</v>
      </c>
      <c r="G490" s="198" t="s">
        <v>2475</v>
      </c>
      <c r="H490" s="301" t="s">
        <v>2498</v>
      </c>
      <c r="I490" s="301"/>
      <c r="J490" s="301"/>
      <c r="K490" s="198"/>
      <c r="L490" s="200" t="s">
        <v>2434</v>
      </c>
      <c r="M490" s="201" t="s">
        <v>4494</v>
      </c>
      <c r="N490" s="309" t="s">
        <v>2848</v>
      </c>
      <c r="O490" s="301" t="s">
        <v>256</v>
      </c>
      <c r="P490" s="301"/>
      <c r="Q490" s="301"/>
      <c r="R490" s="301"/>
      <c r="S490" s="301"/>
      <c r="T490" s="301"/>
      <c r="U490" s="301" t="s">
        <v>256</v>
      </c>
      <c r="V490" s="301"/>
      <c r="W490" s="301"/>
      <c r="X490" s="177" t="s">
        <v>2959</v>
      </c>
    </row>
    <row r="491" spans="1:24" ht="16.95" customHeight="1">
      <c r="A491" s="186" t="s">
        <v>2311</v>
      </c>
      <c r="B491" s="298">
        <v>8</v>
      </c>
      <c r="C491" s="298" t="s">
        <v>2433</v>
      </c>
      <c r="D491" s="298"/>
      <c r="E491" s="298" t="s">
        <v>256</v>
      </c>
      <c r="F491" s="187" t="s">
        <v>5971</v>
      </c>
      <c r="G491" s="186" t="s">
        <v>2475</v>
      </c>
      <c r="H491" s="298" t="s">
        <v>2498</v>
      </c>
      <c r="I491" s="298" t="s">
        <v>2500</v>
      </c>
      <c r="J491" s="298" t="s">
        <v>2960</v>
      </c>
      <c r="K491" s="186" t="s">
        <v>3407</v>
      </c>
      <c r="L491" s="188" t="s">
        <v>2964</v>
      </c>
      <c r="M491" s="189" t="s">
        <v>4495</v>
      </c>
      <c r="N491" s="306" t="s">
        <v>2856</v>
      </c>
      <c r="O491" s="298"/>
      <c r="P491" s="298" t="s">
        <v>256</v>
      </c>
      <c r="Q491" s="298"/>
      <c r="R491" s="298"/>
      <c r="S491" s="298"/>
      <c r="T491" s="298"/>
      <c r="U491" s="298"/>
      <c r="V491" s="298"/>
      <c r="W491" s="298"/>
      <c r="X491" s="177" t="s">
        <v>2959</v>
      </c>
    </row>
    <row r="492" spans="1:24" ht="16.95" customHeight="1">
      <c r="A492" s="210" t="s">
        <v>2412</v>
      </c>
      <c r="B492" s="304">
        <v>8</v>
      </c>
      <c r="C492" s="304" t="s">
        <v>2450</v>
      </c>
      <c r="D492" s="304"/>
      <c r="E492" s="304" t="s">
        <v>256</v>
      </c>
      <c r="F492" s="211" t="s">
        <v>5971</v>
      </c>
      <c r="G492" s="210" t="s">
        <v>2435</v>
      </c>
      <c r="H492" s="304"/>
      <c r="I492" s="304" t="s">
        <v>2500</v>
      </c>
      <c r="J492" s="304"/>
      <c r="K492" s="210"/>
      <c r="L492" s="212" t="s">
        <v>2964</v>
      </c>
      <c r="M492" s="213" t="s">
        <v>4496</v>
      </c>
      <c r="N492" s="312" t="s">
        <v>2844</v>
      </c>
      <c r="O492" s="304"/>
      <c r="P492" s="304"/>
      <c r="Q492" s="304"/>
      <c r="R492" s="304"/>
      <c r="S492" s="304"/>
      <c r="T492" s="304"/>
      <c r="U492" s="304"/>
      <c r="V492" s="304" t="s">
        <v>256</v>
      </c>
      <c r="W492" s="304"/>
      <c r="X492" s="177" t="s">
        <v>2963</v>
      </c>
    </row>
    <row r="493" spans="1:24" ht="16.95" customHeight="1">
      <c r="A493" s="182" t="s">
        <v>2395</v>
      </c>
      <c r="B493" s="297">
        <v>8</v>
      </c>
      <c r="C493" s="297" t="s">
        <v>2443</v>
      </c>
      <c r="D493" s="297"/>
      <c r="E493" s="297" t="s">
        <v>256</v>
      </c>
      <c r="F493" s="183" t="s">
        <v>5971</v>
      </c>
      <c r="G493" s="182" t="s">
        <v>2439</v>
      </c>
      <c r="H493" s="297" t="s">
        <v>2498</v>
      </c>
      <c r="I493" s="297" t="s">
        <v>2500</v>
      </c>
      <c r="J493" s="297"/>
      <c r="K493" s="182"/>
      <c r="L493" s="184" t="s">
        <v>2964</v>
      </c>
      <c r="M493" s="185" t="s">
        <v>4497</v>
      </c>
      <c r="N493" s="305" t="s">
        <v>2847</v>
      </c>
      <c r="O493" s="297"/>
      <c r="P493" s="297"/>
      <c r="Q493" s="297" t="s">
        <v>3078</v>
      </c>
      <c r="R493" s="297"/>
      <c r="S493" s="297"/>
      <c r="T493" s="297" t="s">
        <v>256</v>
      </c>
      <c r="U493" s="297"/>
      <c r="V493" s="297" t="s">
        <v>256</v>
      </c>
      <c r="W493" s="297"/>
      <c r="X493" s="177" t="s">
        <v>2959</v>
      </c>
    </row>
    <row r="494" spans="1:24" ht="16.95" customHeight="1">
      <c r="A494" s="190" t="s">
        <v>2337</v>
      </c>
      <c r="B494" s="299">
        <v>8</v>
      </c>
      <c r="C494" s="299" t="s">
        <v>2429</v>
      </c>
      <c r="D494" s="299"/>
      <c r="E494" s="299" t="s">
        <v>256</v>
      </c>
      <c r="F494" s="191" t="s">
        <v>5971</v>
      </c>
      <c r="G494" s="190" t="s">
        <v>2439</v>
      </c>
      <c r="H494" s="299" t="s">
        <v>2498</v>
      </c>
      <c r="I494" s="299"/>
      <c r="J494" s="299" t="s">
        <v>2960</v>
      </c>
      <c r="K494" s="190" t="s">
        <v>3408</v>
      </c>
      <c r="L494" s="192" t="s">
        <v>2998</v>
      </c>
      <c r="M494" s="193" t="s">
        <v>4498</v>
      </c>
      <c r="N494" s="307" t="s">
        <v>2843</v>
      </c>
      <c r="O494" s="299"/>
      <c r="P494" s="299"/>
      <c r="Q494" s="299"/>
      <c r="R494" s="299"/>
      <c r="S494" s="299"/>
      <c r="T494" s="299"/>
      <c r="U494" s="299" t="s">
        <v>256</v>
      </c>
      <c r="V494" s="299" t="s">
        <v>256</v>
      </c>
      <c r="W494" s="299"/>
      <c r="X494" s="177" t="s">
        <v>2963</v>
      </c>
    </row>
    <row r="495" spans="1:24" ht="16.95" customHeight="1">
      <c r="A495" s="182" t="s">
        <v>2413</v>
      </c>
      <c r="B495" s="297">
        <v>8</v>
      </c>
      <c r="C495" s="297" t="s">
        <v>2443</v>
      </c>
      <c r="D495" s="297"/>
      <c r="E495" s="297" t="s">
        <v>256</v>
      </c>
      <c r="F495" s="183" t="s">
        <v>5971</v>
      </c>
      <c r="G495" s="182" t="s">
        <v>2461</v>
      </c>
      <c r="H495" s="297" t="s">
        <v>2498</v>
      </c>
      <c r="I495" s="297" t="s">
        <v>2500</v>
      </c>
      <c r="J495" s="297"/>
      <c r="K495" s="182"/>
      <c r="L495" s="184" t="s">
        <v>2998</v>
      </c>
      <c r="M495" s="185" t="s">
        <v>4499</v>
      </c>
      <c r="N495" s="305" t="s">
        <v>2858</v>
      </c>
      <c r="O495" s="297"/>
      <c r="P495" s="297"/>
      <c r="Q495" s="297"/>
      <c r="R495" s="297"/>
      <c r="S495" s="297"/>
      <c r="T495" s="297"/>
      <c r="U495" s="297"/>
      <c r="V495" s="297" t="s">
        <v>256</v>
      </c>
      <c r="W495" s="297"/>
      <c r="X495" s="177" t="s">
        <v>2959</v>
      </c>
    </row>
    <row r="496" spans="1:24" ht="16.95" customHeight="1">
      <c r="A496" s="182" t="s">
        <v>2414</v>
      </c>
      <c r="B496" s="297">
        <v>8</v>
      </c>
      <c r="C496" s="297" t="s">
        <v>2443</v>
      </c>
      <c r="D496" s="297"/>
      <c r="E496" s="297"/>
      <c r="F496" s="183" t="s">
        <v>2438</v>
      </c>
      <c r="G496" s="182" t="s">
        <v>2445</v>
      </c>
      <c r="H496" s="297" t="s">
        <v>2498</v>
      </c>
      <c r="I496" s="297" t="s">
        <v>2500</v>
      </c>
      <c r="J496" s="297" t="s">
        <v>2960</v>
      </c>
      <c r="K496" s="182" t="s">
        <v>3409</v>
      </c>
      <c r="L496" s="184" t="s">
        <v>2465</v>
      </c>
      <c r="M496" s="185" t="s">
        <v>4500</v>
      </c>
      <c r="N496" s="305" t="s">
        <v>2845</v>
      </c>
      <c r="O496" s="297"/>
      <c r="P496" s="297"/>
      <c r="Q496" s="297"/>
      <c r="R496" s="297"/>
      <c r="S496" s="297"/>
      <c r="T496" s="297"/>
      <c r="U496" s="297"/>
      <c r="V496" s="297" t="s">
        <v>256</v>
      </c>
      <c r="W496" s="297"/>
      <c r="X496" s="177" t="s">
        <v>2963</v>
      </c>
    </row>
    <row r="497" spans="1:24" ht="16.95" customHeight="1">
      <c r="A497" s="186" t="s">
        <v>2351</v>
      </c>
      <c r="B497" s="298">
        <v>8</v>
      </c>
      <c r="C497" s="298" t="s">
        <v>2433</v>
      </c>
      <c r="D497" s="298"/>
      <c r="E497" s="298"/>
      <c r="F497" s="187" t="s">
        <v>5971</v>
      </c>
      <c r="G497" s="186" t="s">
        <v>2467</v>
      </c>
      <c r="H497" s="298" t="s">
        <v>2498</v>
      </c>
      <c r="I497" s="298" t="s">
        <v>2500</v>
      </c>
      <c r="J497" s="298"/>
      <c r="K497" s="186"/>
      <c r="L497" s="188" t="s">
        <v>2448</v>
      </c>
      <c r="M497" s="189" t="s">
        <v>4501</v>
      </c>
      <c r="N497" s="306" t="s">
        <v>2851</v>
      </c>
      <c r="O497" s="298" t="s">
        <v>256</v>
      </c>
      <c r="P497" s="298"/>
      <c r="Q497" s="298"/>
      <c r="R497" s="298"/>
      <c r="S497" s="298"/>
      <c r="T497" s="298"/>
      <c r="U497" s="298"/>
      <c r="V497" s="298" t="s">
        <v>256</v>
      </c>
      <c r="W497" s="298"/>
      <c r="X497" s="177" t="s">
        <v>2959</v>
      </c>
    </row>
    <row r="498" spans="1:24" ht="16.95" customHeight="1">
      <c r="A498" s="202" t="s">
        <v>2331</v>
      </c>
      <c r="B498" s="302">
        <v>8</v>
      </c>
      <c r="C498" s="302" t="s">
        <v>2967</v>
      </c>
      <c r="D498" s="302"/>
      <c r="E498" s="302"/>
      <c r="F498" s="203" t="s">
        <v>5971</v>
      </c>
      <c r="G498" s="202" t="s">
        <v>2461</v>
      </c>
      <c r="H498" s="302" t="s">
        <v>2498</v>
      </c>
      <c r="I498" s="302"/>
      <c r="J498" s="302"/>
      <c r="K498" s="202"/>
      <c r="L498" s="204" t="s">
        <v>2465</v>
      </c>
      <c r="M498" s="205" t="s">
        <v>4502</v>
      </c>
      <c r="N498" s="310" t="s">
        <v>2850</v>
      </c>
      <c r="O498" s="302" t="s">
        <v>256</v>
      </c>
      <c r="P498" s="302"/>
      <c r="Q498" s="302"/>
      <c r="R498" s="302"/>
      <c r="S498" s="302"/>
      <c r="T498" s="302" t="s">
        <v>256</v>
      </c>
      <c r="U498" s="302" t="s">
        <v>256</v>
      </c>
      <c r="V498" s="302" t="s">
        <v>256</v>
      </c>
      <c r="W498" s="302"/>
      <c r="X498" s="177" t="s">
        <v>2959</v>
      </c>
    </row>
    <row r="499" spans="1:24" ht="16.95" customHeight="1">
      <c r="A499" s="182" t="s">
        <v>3410</v>
      </c>
      <c r="B499" s="297">
        <v>8</v>
      </c>
      <c r="C499" s="297" t="s">
        <v>2443</v>
      </c>
      <c r="D499" s="297"/>
      <c r="E499" s="297" t="s">
        <v>256</v>
      </c>
      <c r="F499" s="183" t="s">
        <v>5971</v>
      </c>
      <c r="G499" s="182" t="s">
        <v>2461</v>
      </c>
      <c r="H499" s="297" t="s">
        <v>2498</v>
      </c>
      <c r="I499" s="297" t="s">
        <v>2500</v>
      </c>
      <c r="J499" s="297" t="s">
        <v>2960</v>
      </c>
      <c r="K499" s="182" t="s">
        <v>3411</v>
      </c>
      <c r="L499" s="184" t="s">
        <v>2964</v>
      </c>
      <c r="M499" s="185" t="s">
        <v>4503</v>
      </c>
      <c r="N499" s="305" t="s">
        <v>3412</v>
      </c>
      <c r="O499" s="297"/>
      <c r="P499" s="297"/>
      <c r="Q499" s="297"/>
      <c r="R499" s="297"/>
      <c r="S499" s="297"/>
      <c r="T499" s="297"/>
      <c r="U499" s="297"/>
      <c r="V499" s="297" t="s">
        <v>256</v>
      </c>
      <c r="W499" s="297"/>
      <c r="X499" s="177" t="s">
        <v>2979</v>
      </c>
    </row>
    <row r="500" spans="1:24" ht="16.95" customHeight="1">
      <c r="A500" s="190" t="s">
        <v>1572</v>
      </c>
      <c r="B500" s="299">
        <v>8</v>
      </c>
      <c r="C500" s="299" t="s">
        <v>2429</v>
      </c>
      <c r="D500" s="299"/>
      <c r="E500" s="299"/>
      <c r="F500" s="191" t="s">
        <v>5971</v>
      </c>
      <c r="G500" s="190" t="s">
        <v>2439</v>
      </c>
      <c r="H500" s="299" t="s">
        <v>2498</v>
      </c>
      <c r="I500" s="299" t="s">
        <v>2500</v>
      </c>
      <c r="J500" s="299" t="s">
        <v>2960</v>
      </c>
      <c r="K500" s="190" t="s">
        <v>3413</v>
      </c>
      <c r="L500" s="192" t="s">
        <v>2465</v>
      </c>
      <c r="M500" s="193" t="s">
        <v>4504</v>
      </c>
      <c r="N500" s="307" t="s">
        <v>2860</v>
      </c>
      <c r="O500" s="299"/>
      <c r="P500" s="299" t="s">
        <v>3078</v>
      </c>
      <c r="Q500" s="299" t="s">
        <v>256</v>
      </c>
      <c r="R500" s="299"/>
      <c r="S500" s="299"/>
      <c r="T500" s="299" t="s">
        <v>256</v>
      </c>
      <c r="U500" s="299"/>
      <c r="V500" s="299" t="s">
        <v>256</v>
      </c>
      <c r="W500" s="299"/>
      <c r="X500" s="177" t="s">
        <v>2959</v>
      </c>
    </row>
    <row r="501" spans="1:24" ht="16.95" customHeight="1">
      <c r="A501" s="190" t="s">
        <v>2415</v>
      </c>
      <c r="B501" s="299">
        <v>8</v>
      </c>
      <c r="C501" s="299" t="s">
        <v>2429</v>
      </c>
      <c r="D501" s="299"/>
      <c r="E501" s="299"/>
      <c r="F501" s="191" t="s">
        <v>5971</v>
      </c>
      <c r="G501" s="190" t="s">
        <v>2473</v>
      </c>
      <c r="H501" s="299" t="s">
        <v>2498</v>
      </c>
      <c r="I501" s="299" t="s">
        <v>2500</v>
      </c>
      <c r="J501" s="299" t="s">
        <v>2960</v>
      </c>
      <c r="K501" s="190" t="s">
        <v>3414</v>
      </c>
      <c r="L501" s="192" t="s">
        <v>2448</v>
      </c>
      <c r="M501" s="193" t="s">
        <v>4505</v>
      </c>
      <c r="N501" s="307" t="s">
        <v>2859</v>
      </c>
      <c r="O501" s="299"/>
      <c r="P501" s="299"/>
      <c r="Q501" s="299"/>
      <c r="R501" s="299"/>
      <c r="S501" s="299"/>
      <c r="T501" s="299"/>
      <c r="U501" s="299"/>
      <c r="V501" s="299" t="s">
        <v>256</v>
      </c>
      <c r="W501" s="299"/>
      <c r="X501" s="177" t="s">
        <v>2959</v>
      </c>
    </row>
    <row r="502" spans="1:24" ht="16.95" customHeight="1">
      <c r="A502" s="182" t="s">
        <v>2379</v>
      </c>
      <c r="B502" s="297">
        <v>8</v>
      </c>
      <c r="C502" s="297" t="s">
        <v>2443</v>
      </c>
      <c r="D502" s="297"/>
      <c r="E502" s="297" t="s">
        <v>256</v>
      </c>
      <c r="F502" s="183" t="s">
        <v>2438</v>
      </c>
      <c r="G502" s="182" t="s">
        <v>2470</v>
      </c>
      <c r="H502" s="297" t="s">
        <v>2498</v>
      </c>
      <c r="I502" s="297" t="s">
        <v>2500</v>
      </c>
      <c r="J502" s="297"/>
      <c r="K502" s="182"/>
      <c r="L502" s="184" t="s">
        <v>3415</v>
      </c>
      <c r="M502" s="185" t="s">
        <v>4506</v>
      </c>
      <c r="N502" s="305" t="s">
        <v>2861</v>
      </c>
      <c r="O502" s="297"/>
      <c r="P502" s="297"/>
      <c r="Q502" s="297" t="s">
        <v>256</v>
      </c>
      <c r="R502" s="297"/>
      <c r="S502" s="297"/>
      <c r="T502" s="297"/>
      <c r="U502" s="297"/>
      <c r="V502" s="297"/>
      <c r="W502" s="297"/>
      <c r="X502" s="177" t="s">
        <v>2959</v>
      </c>
    </row>
    <row r="503" spans="1:24" ht="16.95" customHeight="1">
      <c r="A503" s="194" t="s">
        <v>2314</v>
      </c>
      <c r="B503" s="300">
        <v>9</v>
      </c>
      <c r="C503" s="300" t="s">
        <v>2437</v>
      </c>
      <c r="D503" s="300"/>
      <c r="E503" s="300"/>
      <c r="F503" s="195" t="s">
        <v>2434</v>
      </c>
      <c r="G503" s="194" t="s">
        <v>2431</v>
      </c>
      <c r="H503" s="300" t="s">
        <v>2498</v>
      </c>
      <c r="I503" s="300" t="s">
        <v>2500</v>
      </c>
      <c r="J503" s="300" t="s">
        <v>2960</v>
      </c>
      <c r="K503" s="194" t="s">
        <v>3416</v>
      </c>
      <c r="L503" s="196" t="s">
        <v>2471</v>
      </c>
      <c r="M503" s="197" t="s">
        <v>4507</v>
      </c>
      <c r="N503" s="308" t="s">
        <v>2875</v>
      </c>
      <c r="O503" s="300"/>
      <c r="P503" s="300" t="s">
        <v>256</v>
      </c>
      <c r="Q503" s="300"/>
      <c r="R503" s="300"/>
      <c r="S503" s="300"/>
      <c r="T503" s="300"/>
      <c r="U503" s="300" t="s">
        <v>256</v>
      </c>
      <c r="V503" s="300" t="s">
        <v>256</v>
      </c>
      <c r="W503" s="300"/>
      <c r="X503" s="177" t="s">
        <v>2959</v>
      </c>
    </row>
    <row r="504" spans="1:24" ht="16.95" customHeight="1">
      <c r="A504" s="182" t="s">
        <v>3417</v>
      </c>
      <c r="B504" s="297">
        <v>9</v>
      </c>
      <c r="C504" s="297" t="s">
        <v>2443</v>
      </c>
      <c r="D504" s="297"/>
      <c r="E504" s="297" t="s">
        <v>256</v>
      </c>
      <c r="F504" s="183" t="s">
        <v>6007</v>
      </c>
      <c r="G504" s="182" t="s">
        <v>2461</v>
      </c>
      <c r="H504" s="297" t="s">
        <v>2498</v>
      </c>
      <c r="I504" s="297" t="s">
        <v>2500</v>
      </c>
      <c r="J504" s="297"/>
      <c r="K504" s="182"/>
      <c r="L504" s="184" t="s">
        <v>2964</v>
      </c>
      <c r="M504" s="185" t="s">
        <v>4508</v>
      </c>
      <c r="N504" s="305" t="s">
        <v>3418</v>
      </c>
      <c r="O504" s="297"/>
      <c r="P504" s="297"/>
      <c r="Q504" s="297"/>
      <c r="R504" s="297"/>
      <c r="S504" s="297"/>
      <c r="T504" s="297" t="s">
        <v>256</v>
      </c>
      <c r="U504" s="297" t="s">
        <v>256</v>
      </c>
      <c r="V504" s="297" t="s">
        <v>256</v>
      </c>
      <c r="W504" s="297"/>
      <c r="X504" s="177" t="s">
        <v>2974</v>
      </c>
    </row>
    <row r="505" spans="1:24" ht="16.95" customHeight="1">
      <c r="A505" s="206" t="s">
        <v>2348</v>
      </c>
      <c r="B505" s="303">
        <v>9</v>
      </c>
      <c r="C505" s="303" t="s">
        <v>2440</v>
      </c>
      <c r="D505" s="303"/>
      <c r="E505" s="303"/>
      <c r="F505" s="207" t="s">
        <v>2438</v>
      </c>
      <c r="G505" s="206" t="s">
        <v>2467</v>
      </c>
      <c r="H505" s="303" t="s">
        <v>2498</v>
      </c>
      <c r="I505" s="303" t="s">
        <v>2500</v>
      </c>
      <c r="J505" s="303" t="s">
        <v>2960</v>
      </c>
      <c r="K505" s="206" t="s">
        <v>3419</v>
      </c>
      <c r="L505" s="208" t="s">
        <v>2444</v>
      </c>
      <c r="M505" s="209" t="s">
        <v>4509</v>
      </c>
      <c r="N505" s="311" t="s">
        <v>2873</v>
      </c>
      <c r="O505" s="303" t="s">
        <v>256</v>
      </c>
      <c r="P505" s="303"/>
      <c r="Q505" s="303" t="s">
        <v>256</v>
      </c>
      <c r="R505" s="303"/>
      <c r="S505" s="303"/>
      <c r="T505" s="303"/>
      <c r="U505" s="303" t="s">
        <v>256</v>
      </c>
      <c r="V505" s="303" t="s">
        <v>256</v>
      </c>
      <c r="W505" s="303"/>
      <c r="X505" s="177" t="s">
        <v>2959</v>
      </c>
    </row>
    <row r="506" spans="1:24" ht="16.95" customHeight="1">
      <c r="A506" s="182" t="s">
        <v>2316</v>
      </c>
      <c r="B506" s="297">
        <v>9</v>
      </c>
      <c r="C506" s="297" t="s">
        <v>2443</v>
      </c>
      <c r="D506" s="297"/>
      <c r="E506" s="297" t="s">
        <v>256</v>
      </c>
      <c r="F506" s="183" t="s">
        <v>5971</v>
      </c>
      <c r="G506" s="182" t="s">
        <v>2461</v>
      </c>
      <c r="H506" s="297" t="s">
        <v>2498</v>
      </c>
      <c r="I506" s="297" t="s">
        <v>2500</v>
      </c>
      <c r="J506" s="297" t="s">
        <v>2960</v>
      </c>
      <c r="K506" s="182" t="s">
        <v>3420</v>
      </c>
      <c r="L506" s="184" t="s">
        <v>2964</v>
      </c>
      <c r="M506" s="185" t="s">
        <v>4510</v>
      </c>
      <c r="N506" s="305" t="s">
        <v>2876</v>
      </c>
      <c r="O506" s="297"/>
      <c r="P506" s="297" t="s">
        <v>256</v>
      </c>
      <c r="Q506" s="297"/>
      <c r="R506" s="297"/>
      <c r="S506" s="297"/>
      <c r="T506" s="297" t="s">
        <v>256</v>
      </c>
      <c r="U506" s="297" t="s">
        <v>3078</v>
      </c>
      <c r="V506" s="297" t="s">
        <v>256</v>
      </c>
      <c r="W506" s="297"/>
      <c r="X506" s="177" t="s">
        <v>2959</v>
      </c>
    </row>
    <row r="507" spans="1:24" ht="16.95" customHeight="1">
      <c r="A507" s="186" t="s">
        <v>2341</v>
      </c>
      <c r="B507" s="298">
        <v>9</v>
      </c>
      <c r="C507" s="298" t="s">
        <v>2433</v>
      </c>
      <c r="D507" s="298"/>
      <c r="E507" s="298"/>
      <c r="F507" s="187" t="s">
        <v>2438</v>
      </c>
      <c r="G507" s="186" t="s">
        <v>2452</v>
      </c>
      <c r="H507" s="298" t="s">
        <v>2498</v>
      </c>
      <c r="I507" s="298" t="s">
        <v>2500</v>
      </c>
      <c r="J507" s="298" t="s">
        <v>2960</v>
      </c>
      <c r="K507" s="186" t="s">
        <v>3421</v>
      </c>
      <c r="L507" s="188" t="s">
        <v>2612</v>
      </c>
      <c r="M507" s="189" t="s">
        <v>4511</v>
      </c>
      <c r="N507" s="306" t="s">
        <v>2867</v>
      </c>
      <c r="O507" s="298"/>
      <c r="P507" s="298"/>
      <c r="Q507" s="298"/>
      <c r="R507" s="298"/>
      <c r="S507" s="298"/>
      <c r="T507" s="298"/>
      <c r="U507" s="298" t="s">
        <v>256</v>
      </c>
      <c r="V507" s="298" t="s">
        <v>256</v>
      </c>
      <c r="W507" s="298"/>
      <c r="X507" s="177" t="s">
        <v>2959</v>
      </c>
    </row>
    <row r="508" spans="1:24" ht="16.95" customHeight="1">
      <c r="A508" s="186" t="s">
        <v>2416</v>
      </c>
      <c r="B508" s="298">
        <v>9</v>
      </c>
      <c r="C508" s="298" t="s">
        <v>2433</v>
      </c>
      <c r="D508" s="298"/>
      <c r="E508" s="298" t="s">
        <v>256</v>
      </c>
      <c r="F508" s="187" t="s">
        <v>5971</v>
      </c>
      <c r="G508" s="186" t="s">
        <v>2475</v>
      </c>
      <c r="H508" s="298" t="s">
        <v>2498</v>
      </c>
      <c r="I508" s="298" t="s">
        <v>2500</v>
      </c>
      <c r="J508" s="298" t="s">
        <v>2960</v>
      </c>
      <c r="K508" s="186" t="s">
        <v>3422</v>
      </c>
      <c r="L508" s="188" t="s">
        <v>2998</v>
      </c>
      <c r="M508" s="189" t="s">
        <v>4512</v>
      </c>
      <c r="N508" s="306" t="s">
        <v>2866</v>
      </c>
      <c r="O508" s="298"/>
      <c r="P508" s="298"/>
      <c r="Q508" s="298"/>
      <c r="R508" s="298"/>
      <c r="S508" s="298"/>
      <c r="T508" s="298"/>
      <c r="U508" s="298"/>
      <c r="V508" s="298" t="s">
        <v>256</v>
      </c>
      <c r="W508" s="298"/>
      <c r="X508" s="177" t="s">
        <v>2963</v>
      </c>
    </row>
    <row r="509" spans="1:24" ht="16.95" customHeight="1">
      <c r="A509" s="190" t="s">
        <v>2320</v>
      </c>
      <c r="B509" s="299">
        <v>9</v>
      </c>
      <c r="C509" s="299" t="s">
        <v>2429</v>
      </c>
      <c r="D509" s="299"/>
      <c r="E509" s="299"/>
      <c r="F509" s="191" t="s">
        <v>5971</v>
      </c>
      <c r="G509" s="190" t="s">
        <v>2461</v>
      </c>
      <c r="H509" s="299" t="s">
        <v>2498</v>
      </c>
      <c r="I509" s="299" t="s">
        <v>2500</v>
      </c>
      <c r="J509" s="299"/>
      <c r="K509" s="190"/>
      <c r="L509" s="192" t="s">
        <v>2465</v>
      </c>
      <c r="M509" s="193" t="s">
        <v>4513</v>
      </c>
      <c r="N509" s="307" t="s">
        <v>2878</v>
      </c>
      <c r="O509" s="299"/>
      <c r="P509" s="299" t="s">
        <v>256</v>
      </c>
      <c r="Q509" s="299"/>
      <c r="R509" s="299"/>
      <c r="S509" s="299"/>
      <c r="T509" s="299"/>
      <c r="U509" s="299"/>
      <c r="V509" s="299"/>
      <c r="W509" s="299"/>
      <c r="X509" s="177" t="s">
        <v>2959</v>
      </c>
    </row>
    <row r="510" spans="1:24" ht="16.95" customHeight="1">
      <c r="A510" s="198" t="s">
        <v>2352</v>
      </c>
      <c r="B510" s="301">
        <v>9</v>
      </c>
      <c r="C510" s="301" t="s">
        <v>2425</v>
      </c>
      <c r="D510" s="301"/>
      <c r="E510" s="301" t="s">
        <v>256</v>
      </c>
      <c r="F510" s="199" t="s">
        <v>5971</v>
      </c>
      <c r="G510" s="198" t="s">
        <v>2435</v>
      </c>
      <c r="H510" s="301" t="s">
        <v>2498</v>
      </c>
      <c r="I510" s="301" t="s">
        <v>2500</v>
      </c>
      <c r="J510" s="301" t="s">
        <v>2960</v>
      </c>
      <c r="K510" s="198" t="s">
        <v>3423</v>
      </c>
      <c r="L510" s="200" t="s">
        <v>3013</v>
      </c>
      <c r="M510" s="201" t="s">
        <v>4514</v>
      </c>
      <c r="N510" s="309" t="s">
        <v>2865</v>
      </c>
      <c r="O510" s="301" t="s">
        <v>256</v>
      </c>
      <c r="P510" s="301"/>
      <c r="Q510" s="301"/>
      <c r="R510" s="301"/>
      <c r="S510" s="301"/>
      <c r="T510" s="301" t="s">
        <v>256</v>
      </c>
      <c r="U510" s="301"/>
      <c r="V510" s="301" t="s">
        <v>256</v>
      </c>
      <c r="W510" s="301"/>
      <c r="X510" s="177" t="s">
        <v>2963</v>
      </c>
    </row>
    <row r="511" spans="1:24" ht="16.95" customHeight="1">
      <c r="A511" s="190" t="s">
        <v>2396</v>
      </c>
      <c r="B511" s="299">
        <v>9</v>
      </c>
      <c r="C511" s="299" t="s">
        <v>2429</v>
      </c>
      <c r="D511" s="299"/>
      <c r="E511" s="299"/>
      <c r="F511" s="191" t="s">
        <v>5971</v>
      </c>
      <c r="G511" s="190" t="s">
        <v>2445</v>
      </c>
      <c r="H511" s="299" t="s">
        <v>2498</v>
      </c>
      <c r="I511" s="299" t="s">
        <v>2500</v>
      </c>
      <c r="J511" s="299"/>
      <c r="K511" s="190"/>
      <c r="L511" s="192" t="s">
        <v>2465</v>
      </c>
      <c r="M511" s="193" t="s">
        <v>4515</v>
      </c>
      <c r="N511" s="307" t="s">
        <v>2868</v>
      </c>
      <c r="O511" s="299"/>
      <c r="P511" s="299"/>
      <c r="Q511" s="299"/>
      <c r="R511" s="299"/>
      <c r="S511" s="299"/>
      <c r="T511" s="299" t="s">
        <v>256</v>
      </c>
      <c r="U511" s="299"/>
      <c r="V511" s="299" t="s">
        <v>256</v>
      </c>
      <c r="W511" s="299"/>
      <c r="X511" s="177" t="s">
        <v>2959</v>
      </c>
    </row>
    <row r="512" spans="1:24" ht="16.95" customHeight="1">
      <c r="A512" s="190" t="s">
        <v>2355</v>
      </c>
      <c r="B512" s="299">
        <v>9</v>
      </c>
      <c r="C512" s="299" t="s">
        <v>2429</v>
      </c>
      <c r="D512" s="299"/>
      <c r="E512" s="299"/>
      <c r="F512" s="191" t="s">
        <v>5971</v>
      </c>
      <c r="G512" s="190" t="s">
        <v>2467</v>
      </c>
      <c r="H512" s="299" t="s">
        <v>2498</v>
      </c>
      <c r="I512" s="299" t="s">
        <v>2500</v>
      </c>
      <c r="J512" s="299"/>
      <c r="K512" s="190"/>
      <c r="L512" s="192" t="s">
        <v>2465</v>
      </c>
      <c r="M512" s="193" t="s">
        <v>4516</v>
      </c>
      <c r="N512" s="307" t="s">
        <v>2874</v>
      </c>
      <c r="O512" s="299" t="s">
        <v>256</v>
      </c>
      <c r="P512" s="299" t="s">
        <v>3078</v>
      </c>
      <c r="Q512" s="299"/>
      <c r="R512" s="299"/>
      <c r="S512" s="299"/>
      <c r="T512" s="299"/>
      <c r="U512" s="299"/>
      <c r="V512" s="299"/>
      <c r="W512" s="299"/>
      <c r="X512" s="177" t="s">
        <v>2959</v>
      </c>
    </row>
    <row r="513" spans="1:24" ht="16.95" customHeight="1">
      <c r="A513" s="202" t="s">
        <v>2347</v>
      </c>
      <c r="B513" s="302">
        <v>9</v>
      </c>
      <c r="C513" s="302" t="s">
        <v>2967</v>
      </c>
      <c r="D513" s="302"/>
      <c r="E513" s="302"/>
      <c r="F513" s="203" t="s">
        <v>5971</v>
      </c>
      <c r="G513" s="202" t="s">
        <v>2461</v>
      </c>
      <c r="H513" s="302" t="s">
        <v>2498</v>
      </c>
      <c r="I513" s="302"/>
      <c r="J513" s="302"/>
      <c r="K513" s="202"/>
      <c r="L513" s="204" t="s">
        <v>2465</v>
      </c>
      <c r="M513" s="205" t="s">
        <v>4517</v>
      </c>
      <c r="N513" s="310" t="s">
        <v>2872</v>
      </c>
      <c r="O513" s="302" t="s">
        <v>256</v>
      </c>
      <c r="P513" s="302"/>
      <c r="Q513" s="302"/>
      <c r="R513" s="302"/>
      <c r="S513" s="302"/>
      <c r="T513" s="302" t="s">
        <v>256</v>
      </c>
      <c r="U513" s="302" t="s">
        <v>256</v>
      </c>
      <c r="V513" s="302" t="s">
        <v>256</v>
      </c>
      <c r="W513" s="302"/>
      <c r="X513" s="177" t="s">
        <v>2959</v>
      </c>
    </row>
    <row r="514" spans="1:24" ht="16.95" customHeight="1">
      <c r="A514" s="186" t="s">
        <v>2417</v>
      </c>
      <c r="B514" s="298">
        <v>9</v>
      </c>
      <c r="C514" s="298" t="s">
        <v>2433</v>
      </c>
      <c r="D514" s="298"/>
      <c r="E514" s="298"/>
      <c r="F514" s="187" t="s">
        <v>5971</v>
      </c>
      <c r="G514" s="186" t="s">
        <v>2461</v>
      </c>
      <c r="H514" s="298" t="s">
        <v>2498</v>
      </c>
      <c r="I514" s="298" t="s">
        <v>2500</v>
      </c>
      <c r="J514" s="298"/>
      <c r="K514" s="186"/>
      <c r="L514" s="188" t="s">
        <v>2428</v>
      </c>
      <c r="M514" s="189" t="s">
        <v>4518</v>
      </c>
      <c r="N514" s="306" t="s">
        <v>2879</v>
      </c>
      <c r="O514" s="298" t="s">
        <v>3078</v>
      </c>
      <c r="P514" s="298"/>
      <c r="Q514" s="298"/>
      <c r="R514" s="298"/>
      <c r="S514" s="298"/>
      <c r="T514" s="298"/>
      <c r="U514" s="298"/>
      <c r="V514" s="298" t="s">
        <v>256</v>
      </c>
      <c r="W514" s="298"/>
      <c r="X514" s="177" t="s">
        <v>2959</v>
      </c>
    </row>
    <row r="515" spans="1:24" ht="16.95" customHeight="1">
      <c r="A515" s="202" t="s">
        <v>2343</v>
      </c>
      <c r="B515" s="302">
        <v>9</v>
      </c>
      <c r="C515" s="302" t="s">
        <v>2967</v>
      </c>
      <c r="D515" s="302"/>
      <c r="E515" s="302"/>
      <c r="F515" s="203" t="s">
        <v>5971</v>
      </c>
      <c r="G515" s="202" t="s">
        <v>2463</v>
      </c>
      <c r="H515" s="302"/>
      <c r="I515" s="302" t="s">
        <v>2500</v>
      </c>
      <c r="J515" s="302"/>
      <c r="K515" s="202"/>
      <c r="L515" s="204" t="s">
        <v>2465</v>
      </c>
      <c r="M515" s="205" t="s">
        <v>4519</v>
      </c>
      <c r="N515" s="310" t="s">
        <v>2864</v>
      </c>
      <c r="O515" s="302" t="s">
        <v>256</v>
      </c>
      <c r="P515" s="302"/>
      <c r="Q515" s="302"/>
      <c r="R515" s="302"/>
      <c r="S515" s="302"/>
      <c r="T515" s="302" t="s">
        <v>256</v>
      </c>
      <c r="U515" s="302" t="s">
        <v>256</v>
      </c>
      <c r="V515" s="302" t="s">
        <v>256</v>
      </c>
      <c r="W515" s="302"/>
      <c r="X515" s="177" t="s">
        <v>2963</v>
      </c>
    </row>
    <row r="516" spans="1:24" ht="16.95" customHeight="1">
      <c r="A516" s="190" t="s">
        <v>3424</v>
      </c>
      <c r="B516" s="299">
        <v>9</v>
      </c>
      <c r="C516" s="299" t="s">
        <v>2429</v>
      </c>
      <c r="D516" s="299"/>
      <c r="E516" s="299" t="s">
        <v>256</v>
      </c>
      <c r="F516" s="191" t="s">
        <v>5971</v>
      </c>
      <c r="G516" s="190" t="s">
        <v>3425</v>
      </c>
      <c r="H516" s="299" t="s">
        <v>2498</v>
      </c>
      <c r="I516" s="299" t="s">
        <v>2500</v>
      </c>
      <c r="J516" s="299" t="s">
        <v>2960</v>
      </c>
      <c r="K516" s="190" t="s">
        <v>3426</v>
      </c>
      <c r="L516" s="192" t="s">
        <v>2964</v>
      </c>
      <c r="M516" s="193" t="s">
        <v>4520</v>
      </c>
      <c r="N516" s="307" t="s">
        <v>3427</v>
      </c>
      <c r="O516" s="299"/>
      <c r="P516" s="299"/>
      <c r="Q516" s="299"/>
      <c r="R516" s="299"/>
      <c r="S516" s="299"/>
      <c r="T516" s="299"/>
      <c r="U516" s="299"/>
      <c r="V516" s="299" t="s">
        <v>256</v>
      </c>
      <c r="W516" s="299"/>
      <c r="X516" s="177" t="s">
        <v>2979</v>
      </c>
    </row>
    <row r="517" spans="1:24" ht="16.95" customHeight="1">
      <c r="A517" s="198" t="s">
        <v>2381</v>
      </c>
      <c r="B517" s="301">
        <v>9</v>
      </c>
      <c r="C517" s="301" t="s">
        <v>2425</v>
      </c>
      <c r="D517" s="301"/>
      <c r="E517" s="301" t="s">
        <v>256</v>
      </c>
      <c r="F517" s="199" t="s">
        <v>5971</v>
      </c>
      <c r="G517" s="198" t="s">
        <v>2475</v>
      </c>
      <c r="H517" s="301" t="s">
        <v>2498</v>
      </c>
      <c r="I517" s="301" t="s">
        <v>2500</v>
      </c>
      <c r="J517" s="301" t="s">
        <v>2960</v>
      </c>
      <c r="K517" s="198" t="s">
        <v>3428</v>
      </c>
      <c r="L517" s="200" t="s">
        <v>3013</v>
      </c>
      <c r="M517" s="201" t="s">
        <v>4521</v>
      </c>
      <c r="N517" s="309" t="s">
        <v>2881</v>
      </c>
      <c r="O517" s="301"/>
      <c r="P517" s="301"/>
      <c r="Q517" s="301" t="s">
        <v>256</v>
      </c>
      <c r="R517" s="301"/>
      <c r="S517" s="301"/>
      <c r="T517" s="301"/>
      <c r="U517" s="301"/>
      <c r="V517" s="301" t="s">
        <v>256</v>
      </c>
      <c r="W517" s="301"/>
      <c r="X517" s="177" t="s">
        <v>2959</v>
      </c>
    </row>
    <row r="518" spans="1:24" ht="16.95" customHeight="1">
      <c r="A518" s="182" t="s">
        <v>2382</v>
      </c>
      <c r="B518" s="297">
        <v>9</v>
      </c>
      <c r="C518" s="297" t="s">
        <v>2443</v>
      </c>
      <c r="D518" s="297"/>
      <c r="E518" s="297" t="s">
        <v>256</v>
      </c>
      <c r="F518" s="183" t="s">
        <v>5971</v>
      </c>
      <c r="G518" s="182" t="s">
        <v>2470</v>
      </c>
      <c r="H518" s="297" t="s">
        <v>2498</v>
      </c>
      <c r="I518" s="297" t="s">
        <v>2500</v>
      </c>
      <c r="J518" s="297"/>
      <c r="K518" s="182"/>
      <c r="L518" s="184" t="s">
        <v>2964</v>
      </c>
      <c r="M518" s="185" t="s">
        <v>4522</v>
      </c>
      <c r="N518" s="305" t="s">
        <v>2882</v>
      </c>
      <c r="O518" s="297"/>
      <c r="P518" s="297"/>
      <c r="Q518" s="297" t="s">
        <v>256</v>
      </c>
      <c r="R518" s="297"/>
      <c r="S518" s="297"/>
      <c r="T518" s="297"/>
      <c r="U518" s="297"/>
      <c r="V518" s="297"/>
      <c r="W518" s="297"/>
      <c r="X518" s="177" t="s">
        <v>2959</v>
      </c>
    </row>
    <row r="519" spans="1:24" ht="16.95" customHeight="1">
      <c r="A519" s="194" t="s">
        <v>3429</v>
      </c>
      <c r="B519" s="300">
        <v>9</v>
      </c>
      <c r="C519" s="300" t="s">
        <v>2437</v>
      </c>
      <c r="D519" s="300"/>
      <c r="E519" s="300"/>
      <c r="F519" s="195" t="s">
        <v>5971</v>
      </c>
      <c r="G519" s="194" t="s">
        <v>2463</v>
      </c>
      <c r="H519" s="300" t="s">
        <v>2498</v>
      </c>
      <c r="I519" s="300" t="s">
        <v>2500</v>
      </c>
      <c r="J519" s="300" t="s">
        <v>2960</v>
      </c>
      <c r="K519" s="194" t="s">
        <v>3430</v>
      </c>
      <c r="L519" s="196" t="s">
        <v>2465</v>
      </c>
      <c r="M519" s="197" t="s">
        <v>4523</v>
      </c>
      <c r="N519" s="308" t="s">
        <v>3431</v>
      </c>
      <c r="O519" s="300"/>
      <c r="P519" s="300"/>
      <c r="Q519" s="300"/>
      <c r="R519" s="300"/>
      <c r="S519" s="300"/>
      <c r="T519" s="300"/>
      <c r="U519" s="300"/>
      <c r="V519" s="300" t="s">
        <v>256</v>
      </c>
      <c r="W519" s="300"/>
      <c r="X519" s="177" t="s">
        <v>2979</v>
      </c>
    </row>
    <row r="520" spans="1:24" ht="16.95" customHeight="1">
      <c r="A520" s="198" t="s">
        <v>2397</v>
      </c>
      <c r="B520" s="301">
        <v>9</v>
      </c>
      <c r="C520" s="301" t="s">
        <v>2425</v>
      </c>
      <c r="D520" s="301"/>
      <c r="E520" s="301"/>
      <c r="F520" s="199" t="s">
        <v>5971</v>
      </c>
      <c r="G520" s="198" t="s">
        <v>2475</v>
      </c>
      <c r="H520" s="301" t="s">
        <v>2498</v>
      </c>
      <c r="I520" s="301"/>
      <c r="J520" s="301"/>
      <c r="K520" s="198"/>
      <c r="L520" s="200" t="s">
        <v>2465</v>
      </c>
      <c r="M520" s="201" t="s">
        <v>4524</v>
      </c>
      <c r="N520" s="309" t="s">
        <v>2869</v>
      </c>
      <c r="O520" s="301"/>
      <c r="P520" s="301"/>
      <c r="Q520" s="301"/>
      <c r="R520" s="301"/>
      <c r="S520" s="301"/>
      <c r="T520" s="301" t="s">
        <v>256</v>
      </c>
      <c r="U520" s="301"/>
      <c r="V520" s="301" t="s">
        <v>256</v>
      </c>
      <c r="W520" s="301"/>
      <c r="X520" s="177" t="s">
        <v>2959</v>
      </c>
    </row>
    <row r="521" spans="1:24" ht="16.95" customHeight="1">
      <c r="A521" s="198" t="s">
        <v>2345</v>
      </c>
      <c r="B521" s="301">
        <v>9</v>
      </c>
      <c r="C521" s="301" t="s">
        <v>2425</v>
      </c>
      <c r="D521" s="301"/>
      <c r="E521" s="301" t="s">
        <v>256</v>
      </c>
      <c r="F521" s="199" t="s">
        <v>5971</v>
      </c>
      <c r="G521" s="198" t="s">
        <v>2452</v>
      </c>
      <c r="H521" s="301" t="s">
        <v>2498</v>
      </c>
      <c r="I521" s="301" t="s">
        <v>2500</v>
      </c>
      <c r="J521" s="301" t="s">
        <v>2960</v>
      </c>
      <c r="K521" s="198" t="s">
        <v>3432</v>
      </c>
      <c r="L521" s="200" t="s">
        <v>3013</v>
      </c>
      <c r="M521" s="201" t="s">
        <v>4525</v>
      </c>
      <c r="N521" s="309" t="s">
        <v>2871</v>
      </c>
      <c r="O521" s="301" t="s">
        <v>256</v>
      </c>
      <c r="P521" s="301"/>
      <c r="Q521" s="301"/>
      <c r="R521" s="301"/>
      <c r="S521" s="301"/>
      <c r="T521" s="301"/>
      <c r="U521" s="301" t="s">
        <v>256</v>
      </c>
      <c r="V521" s="301" t="s">
        <v>256</v>
      </c>
      <c r="W521" s="301"/>
      <c r="X521" s="177" t="s">
        <v>2959</v>
      </c>
    </row>
    <row r="522" spans="1:24" ht="16.95" customHeight="1">
      <c r="A522" s="194" t="s">
        <v>2318</v>
      </c>
      <c r="B522" s="300">
        <v>9</v>
      </c>
      <c r="C522" s="300" t="s">
        <v>2437</v>
      </c>
      <c r="D522" s="300"/>
      <c r="E522" s="300"/>
      <c r="F522" s="195" t="s">
        <v>2434</v>
      </c>
      <c r="G522" s="194" t="s">
        <v>2467</v>
      </c>
      <c r="H522" s="300" t="s">
        <v>2498</v>
      </c>
      <c r="I522" s="300" t="s">
        <v>2500</v>
      </c>
      <c r="J522" s="300" t="s">
        <v>2960</v>
      </c>
      <c r="K522" s="194" t="s">
        <v>3433</v>
      </c>
      <c r="L522" s="196" t="s">
        <v>2465</v>
      </c>
      <c r="M522" s="197" t="s">
        <v>4526</v>
      </c>
      <c r="N522" s="308" t="s">
        <v>2877</v>
      </c>
      <c r="O522" s="300"/>
      <c r="P522" s="300" t="s">
        <v>256</v>
      </c>
      <c r="Q522" s="300" t="s">
        <v>256</v>
      </c>
      <c r="R522" s="300"/>
      <c r="S522" s="300"/>
      <c r="T522" s="300"/>
      <c r="U522" s="300"/>
      <c r="V522" s="300"/>
      <c r="W522" s="300"/>
      <c r="X522" s="177" t="s">
        <v>2959</v>
      </c>
    </row>
    <row r="523" spans="1:24" ht="16.95" customHeight="1">
      <c r="A523" s="210" t="s">
        <v>2418</v>
      </c>
      <c r="B523" s="304">
        <v>9</v>
      </c>
      <c r="C523" s="304" t="s">
        <v>2450</v>
      </c>
      <c r="D523" s="304"/>
      <c r="E523" s="304" t="s">
        <v>256</v>
      </c>
      <c r="F523" s="211" t="s">
        <v>5971</v>
      </c>
      <c r="G523" s="210" t="s">
        <v>2435</v>
      </c>
      <c r="H523" s="304" t="s">
        <v>2498</v>
      </c>
      <c r="I523" s="304" t="s">
        <v>2500</v>
      </c>
      <c r="J523" s="304"/>
      <c r="K523" s="210"/>
      <c r="L523" s="212" t="s">
        <v>2964</v>
      </c>
      <c r="M523" s="213" t="s">
        <v>4527</v>
      </c>
      <c r="N523" s="312" t="s">
        <v>2880</v>
      </c>
      <c r="O523" s="304"/>
      <c r="P523" s="304"/>
      <c r="Q523" s="304"/>
      <c r="R523" s="304"/>
      <c r="S523" s="304"/>
      <c r="T523" s="304"/>
      <c r="U523" s="304" t="s">
        <v>3078</v>
      </c>
      <c r="V523" s="304" t="s">
        <v>256</v>
      </c>
      <c r="W523" s="304"/>
      <c r="X523" s="177" t="s">
        <v>2959</v>
      </c>
    </row>
    <row r="524" spans="1:24" ht="16.95" customHeight="1">
      <c r="A524" s="182" t="s">
        <v>2398</v>
      </c>
      <c r="B524" s="297">
        <v>9</v>
      </c>
      <c r="C524" s="297" t="s">
        <v>2443</v>
      </c>
      <c r="D524" s="297"/>
      <c r="E524" s="297"/>
      <c r="F524" s="183" t="s">
        <v>5971</v>
      </c>
      <c r="G524" s="182" t="s">
        <v>2475</v>
      </c>
      <c r="H524" s="297" t="s">
        <v>2498</v>
      </c>
      <c r="I524" s="297"/>
      <c r="J524" s="297"/>
      <c r="K524" s="182"/>
      <c r="L524" s="184" t="s">
        <v>2465</v>
      </c>
      <c r="M524" s="185" t="s">
        <v>4528</v>
      </c>
      <c r="N524" s="305" t="s">
        <v>2870</v>
      </c>
      <c r="O524" s="297"/>
      <c r="P524" s="297"/>
      <c r="Q524" s="297"/>
      <c r="R524" s="297"/>
      <c r="S524" s="297"/>
      <c r="T524" s="297" t="s">
        <v>256</v>
      </c>
      <c r="U524" s="297"/>
      <c r="V524" s="297" t="s">
        <v>256</v>
      </c>
      <c r="W524" s="297"/>
      <c r="X524" s="177" t="s">
        <v>2959</v>
      </c>
    </row>
    <row r="525" spans="1:24" ht="16.95" customHeight="1">
      <c r="A525" s="214" t="str">
        <f>IF(额外法术!C3="","",额外法术!C3)</f>
        <v/>
      </c>
      <c r="B525" s="69" t="str">
        <f>IF(额外法术!C3="","",IF(额外法术!B3="戏法",0,额外法术!B3))</f>
        <v/>
      </c>
      <c r="C525" s="69" t="str">
        <f>IF(额外法术!C3="","",额外法术!E3)</f>
        <v/>
      </c>
      <c r="D525" s="69" t="str">
        <f>IF(额外法术!N3="","",额外法术!N3)</f>
        <v/>
      </c>
      <c r="E525" s="69" t="str">
        <f>IF(额外法术!M3="","",额外法术!M3)</f>
        <v/>
      </c>
      <c r="F525" s="72" t="str">
        <f>IF(额外法术!F3="","",额外法术!F3)</f>
        <v/>
      </c>
      <c r="G525" s="71" t="str">
        <f>IF(额外法术!D3="","",额外法术!D3)</f>
        <v/>
      </c>
      <c r="H525" s="69" t="str">
        <f>IF(额外法术!G3="","",额外法术!G3)</f>
        <v/>
      </c>
      <c r="I525" s="69" t="str">
        <f>IF(额外法术!H3="","",额外法术!H3)</f>
        <v/>
      </c>
      <c r="J525" s="69" t="str">
        <f>IF(额外法术!I3="","",额外法术!I3)</f>
        <v/>
      </c>
      <c r="K525" s="71" t="str">
        <f>IF(额外法术!J3="","",额外法术!J3)</f>
        <v/>
      </c>
      <c r="L525" s="71" t="str">
        <f>IF(额外法术!K3="","",额外法术!K3)</f>
        <v/>
      </c>
      <c r="M525" s="174" t="str">
        <f>IF(额外法术!L3="","",额外法术!L3)</f>
        <v/>
      </c>
      <c r="N525" s="313" t="s">
        <v>4566</v>
      </c>
      <c r="X525" s="385" t="s">
        <v>4561</v>
      </c>
    </row>
    <row r="526" spans="1:24" ht="16.95" customHeight="1">
      <c r="A526" s="214" t="str">
        <f>IF(额外法术!C4="","",额外法术!C4)</f>
        <v/>
      </c>
      <c r="B526" s="69" t="str">
        <f>IF(额外法术!C4="","",IF(额外法术!B4="戏法",0,额外法术!B4))</f>
        <v/>
      </c>
      <c r="C526" s="69" t="str">
        <f>IF(额外法术!C4="","",额外法术!E4)</f>
        <v/>
      </c>
      <c r="D526" s="69" t="str">
        <f>IF(额外法术!N4="","",额外法术!N4)</f>
        <v/>
      </c>
      <c r="E526" s="69" t="str">
        <f>IF(额外法术!M4="","",额外法术!M4)</f>
        <v/>
      </c>
      <c r="F526" s="72" t="str">
        <f>IF(额外法术!F4="","",额外法术!F4)</f>
        <v/>
      </c>
      <c r="G526" s="71" t="str">
        <f>IF(额外法术!D4="","",额外法术!D4)</f>
        <v/>
      </c>
      <c r="H526" s="69" t="str">
        <f>IF(额外法术!G4="","",额外法术!G4)</f>
        <v/>
      </c>
      <c r="I526" s="69" t="str">
        <f>IF(额外法术!H4="","",额外法术!H4)</f>
        <v/>
      </c>
      <c r="J526" s="69" t="str">
        <f>IF(额外法术!I4="","",额外法术!I4)</f>
        <v/>
      </c>
      <c r="K526" s="71" t="str">
        <f>IF(额外法术!J4="","",额外法术!J4)</f>
        <v/>
      </c>
      <c r="L526" s="71" t="str">
        <f>IF(额外法术!K4="","",额外法术!K4)</f>
        <v/>
      </c>
      <c r="M526" s="174" t="str">
        <f>IF(额外法术!L4="","",额外法术!L4)</f>
        <v/>
      </c>
      <c r="N526" s="313" t="s">
        <v>4566</v>
      </c>
      <c r="X526" s="385" t="s">
        <v>4561</v>
      </c>
    </row>
    <row r="527" spans="1:24" ht="16.95" customHeight="1">
      <c r="A527" s="214" t="str">
        <f>IF(额外法术!C5="","",额外法术!C5)</f>
        <v/>
      </c>
      <c r="B527" s="69" t="str">
        <f>IF(额外法术!C5="","",IF(额外法术!B5="戏法",0,额外法术!B5))</f>
        <v/>
      </c>
      <c r="C527" s="69" t="str">
        <f>IF(额外法术!C5="","",额外法术!E5)</f>
        <v/>
      </c>
      <c r="D527" s="69" t="str">
        <f>IF(额外法术!N5="","",额外法术!N5)</f>
        <v/>
      </c>
      <c r="E527" s="69" t="str">
        <f>IF(额外法术!M5="","",额外法术!M5)</f>
        <v/>
      </c>
      <c r="F527" s="72" t="str">
        <f>IF(额外法术!F5="","",额外法术!F5)</f>
        <v/>
      </c>
      <c r="G527" s="71" t="str">
        <f>IF(额外法术!D5="","",额外法术!D5)</f>
        <v/>
      </c>
      <c r="H527" s="69" t="str">
        <f>IF(额外法术!G5="","",额外法术!G5)</f>
        <v/>
      </c>
      <c r="I527" s="69" t="str">
        <f>IF(额外法术!H5="","",额外法术!H5)</f>
        <v/>
      </c>
      <c r="J527" s="69" t="str">
        <f>IF(额外法术!I5="","",额外法术!I5)</f>
        <v/>
      </c>
      <c r="K527" s="71" t="str">
        <f>IF(额外法术!J5="","",额外法术!J5)</f>
        <v/>
      </c>
      <c r="L527" s="71" t="str">
        <f>IF(额外法术!K5="","",额外法术!K5)</f>
        <v/>
      </c>
      <c r="M527" s="174" t="str">
        <f>IF(额外法术!L5="","",额外法术!L5)</f>
        <v/>
      </c>
      <c r="N527" s="313" t="s">
        <v>4566</v>
      </c>
      <c r="X527" s="385" t="s">
        <v>4561</v>
      </c>
    </row>
    <row r="528" spans="1:24" ht="16.95" customHeight="1">
      <c r="A528" s="214" t="str">
        <f>IF(额外法术!C6="","",额外法术!C6)</f>
        <v/>
      </c>
      <c r="B528" s="69" t="str">
        <f>IF(额外法术!C6="","",IF(额外法术!B6="戏法",0,额外法术!B6))</f>
        <v/>
      </c>
      <c r="C528" s="69" t="str">
        <f>IF(额外法术!C6="","",额外法术!E6)</f>
        <v/>
      </c>
      <c r="D528" s="69" t="str">
        <f>IF(额外法术!N6="","",额外法术!N6)</f>
        <v/>
      </c>
      <c r="E528" s="69" t="str">
        <f>IF(额外法术!M6="","",额外法术!M6)</f>
        <v/>
      </c>
      <c r="F528" s="72" t="str">
        <f>IF(额外法术!F6="","",额外法术!F6)</f>
        <v/>
      </c>
      <c r="G528" s="71" t="str">
        <f>IF(额外法术!D6="","",额外法术!D6)</f>
        <v/>
      </c>
      <c r="H528" s="69" t="str">
        <f>IF(额外法术!G6="","",额外法术!G6)</f>
        <v/>
      </c>
      <c r="I528" s="69" t="str">
        <f>IF(额外法术!H6="","",额外法术!H6)</f>
        <v/>
      </c>
      <c r="J528" s="69" t="str">
        <f>IF(额外法术!I6="","",额外法术!I6)</f>
        <v/>
      </c>
      <c r="K528" s="71" t="str">
        <f>IF(额外法术!J6="","",额外法术!J6)</f>
        <v/>
      </c>
      <c r="L528" s="71" t="str">
        <f>IF(额外法术!K6="","",额外法术!K6)</f>
        <v/>
      </c>
      <c r="M528" s="174" t="str">
        <f>IF(额外法术!L6="","",额外法术!L6)</f>
        <v/>
      </c>
      <c r="N528" s="313" t="s">
        <v>4566</v>
      </c>
      <c r="X528" s="385" t="s">
        <v>4561</v>
      </c>
    </row>
    <row r="529" spans="1:24" ht="16.95" customHeight="1">
      <c r="A529" s="214" t="str">
        <f>IF(额外法术!C7="","",额外法术!C7)</f>
        <v/>
      </c>
      <c r="B529" s="69" t="str">
        <f>IF(额外法术!C7="","",IF(额外法术!B7="戏法",0,额外法术!B7))</f>
        <v/>
      </c>
      <c r="C529" s="69" t="str">
        <f>IF(额外法术!C7="","",额外法术!E7)</f>
        <v/>
      </c>
      <c r="D529" s="69" t="str">
        <f>IF(额外法术!N7="","",额外法术!N7)</f>
        <v/>
      </c>
      <c r="E529" s="69" t="str">
        <f>IF(额外法术!M7="","",额外法术!M7)</f>
        <v/>
      </c>
      <c r="F529" s="72" t="str">
        <f>IF(额外法术!F7="","",额外法术!F7)</f>
        <v/>
      </c>
      <c r="G529" s="71" t="str">
        <f>IF(额外法术!D7="","",额外法术!D7)</f>
        <v/>
      </c>
      <c r="H529" s="69" t="str">
        <f>IF(额外法术!G7="","",额外法术!G7)</f>
        <v/>
      </c>
      <c r="I529" s="69" t="str">
        <f>IF(额外法术!H7="","",额外法术!H7)</f>
        <v/>
      </c>
      <c r="J529" s="69" t="str">
        <f>IF(额外法术!I7="","",额外法术!I7)</f>
        <v/>
      </c>
      <c r="K529" s="71" t="str">
        <f>IF(额外法术!J7="","",额外法术!J7)</f>
        <v/>
      </c>
      <c r="L529" s="71" t="str">
        <f>IF(额外法术!K7="","",额外法术!K7)</f>
        <v/>
      </c>
      <c r="M529" s="174" t="str">
        <f>IF(额外法术!L7="","",额外法术!L7)</f>
        <v/>
      </c>
      <c r="N529" s="313" t="s">
        <v>4566</v>
      </c>
      <c r="X529" s="385" t="s">
        <v>4561</v>
      </c>
    </row>
    <row r="530" spans="1:24" ht="16.95" customHeight="1">
      <c r="A530" s="214" t="str">
        <f>IF(额外法术!C8="","",额外法术!C8)</f>
        <v/>
      </c>
      <c r="B530" s="69" t="str">
        <f>IF(额外法术!C8="","",IF(额外法术!B8="戏法",0,额外法术!B8))</f>
        <v/>
      </c>
      <c r="C530" s="69" t="str">
        <f>IF(额外法术!C8="","",额外法术!E8)</f>
        <v/>
      </c>
      <c r="D530" s="69" t="str">
        <f>IF(额外法术!N8="","",额外法术!N8)</f>
        <v/>
      </c>
      <c r="E530" s="69" t="str">
        <f>IF(额外法术!M8="","",额外法术!M8)</f>
        <v/>
      </c>
      <c r="F530" s="72" t="str">
        <f>IF(额外法术!F8="","",额外法术!F8)</f>
        <v/>
      </c>
      <c r="G530" s="71" t="str">
        <f>IF(额外法术!D8="","",额外法术!D8)</f>
        <v/>
      </c>
      <c r="H530" s="69" t="str">
        <f>IF(额外法术!G8="","",额外法术!G8)</f>
        <v/>
      </c>
      <c r="I530" s="69" t="str">
        <f>IF(额外法术!H8="","",额外法术!H8)</f>
        <v/>
      </c>
      <c r="J530" s="69" t="str">
        <f>IF(额外法术!I8="","",额外法术!I8)</f>
        <v/>
      </c>
      <c r="K530" s="71" t="str">
        <f>IF(额外法术!J8="","",额外法术!J8)</f>
        <v/>
      </c>
      <c r="L530" s="71" t="str">
        <f>IF(额外法术!K8="","",额外法术!K8)</f>
        <v/>
      </c>
      <c r="M530" s="174" t="str">
        <f>IF(额外法术!L8="","",额外法术!L8)</f>
        <v/>
      </c>
      <c r="N530" s="313" t="s">
        <v>4566</v>
      </c>
      <c r="X530" s="385" t="s">
        <v>4561</v>
      </c>
    </row>
    <row r="531" spans="1:24" ht="16.95" customHeight="1">
      <c r="A531" s="214" t="str">
        <f>IF(额外法术!C9="","",额外法术!C9)</f>
        <v/>
      </c>
      <c r="B531" s="69" t="str">
        <f>IF(额外法术!C9="","",IF(额外法术!B9="戏法",0,额外法术!B9))</f>
        <v/>
      </c>
      <c r="C531" s="69" t="str">
        <f>IF(额外法术!C9="","",额外法术!E9)</f>
        <v/>
      </c>
      <c r="D531" s="69" t="str">
        <f>IF(额外法术!N9="","",额外法术!N9)</f>
        <v/>
      </c>
      <c r="E531" s="69" t="str">
        <f>IF(额外法术!M9="","",额外法术!M9)</f>
        <v/>
      </c>
      <c r="F531" s="72" t="str">
        <f>IF(额外法术!F9="","",额外法术!F9)</f>
        <v/>
      </c>
      <c r="G531" s="71" t="str">
        <f>IF(额外法术!D9="","",额外法术!D9)</f>
        <v/>
      </c>
      <c r="H531" s="69" t="str">
        <f>IF(额外法术!G9="","",额外法术!G9)</f>
        <v/>
      </c>
      <c r="I531" s="69" t="str">
        <f>IF(额外法术!H9="","",额外法术!H9)</f>
        <v/>
      </c>
      <c r="J531" s="69" t="str">
        <f>IF(额外法术!I9="","",额外法术!I9)</f>
        <v/>
      </c>
      <c r="K531" s="71" t="str">
        <f>IF(额外法术!J9="","",额外法术!J9)</f>
        <v/>
      </c>
      <c r="L531" s="71" t="str">
        <f>IF(额外法术!K9="","",额外法术!K9)</f>
        <v/>
      </c>
      <c r="M531" s="174" t="str">
        <f>IF(额外法术!L9="","",额外法术!L9)</f>
        <v/>
      </c>
      <c r="N531" s="313" t="s">
        <v>4566</v>
      </c>
      <c r="X531" s="385" t="s">
        <v>4561</v>
      </c>
    </row>
    <row r="532" spans="1:24" ht="16.95" customHeight="1">
      <c r="A532" s="214" t="str">
        <f>IF(额外法术!C10="","",额外法术!C10)</f>
        <v/>
      </c>
      <c r="B532" s="69" t="str">
        <f>IF(额外法术!C10="","",IF(额外法术!B10="戏法",0,额外法术!B10))</f>
        <v/>
      </c>
      <c r="C532" s="69" t="str">
        <f>IF(额外法术!C10="","",额外法术!E10)</f>
        <v/>
      </c>
      <c r="D532" s="69" t="str">
        <f>IF(额外法术!N10="","",额外法术!N10)</f>
        <v/>
      </c>
      <c r="E532" s="69" t="str">
        <f>IF(额外法术!M10="","",额外法术!M10)</f>
        <v/>
      </c>
      <c r="F532" s="72" t="str">
        <f>IF(额外法术!F10="","",额外法术!F10)</f>
        <v/>
      </c>
      <c r="G532" s="71" t="str">
        <f>IF(额外法术!D10="","",额外法术!D10)</f>
        <v/>
      </c>
      <c r="H532" s="69" t="str">
        <f>IF(额外法术!G10="","",额外法术!G10)</f>
        <v/>
      </c>
      <c r="I532" s="69" t="str">
        <f>IF(额外法术!H10="","",额外法术!H10)</f>
        <v/>
      </c>
      <c r="J532" s="69" t="str">
        <f>IF(额外法术!I10="","",额外法术!I10)</f>
        <v/>
      </c>
      <c r="K532" s="71" t="str">
        <f>IF(额外法术!J10="","",额外法术!J10)</f>
        <v/>
      </c>
      <c r="L532" s="71" t="str">
        <f>IF(额外法术!K10="","",额外法术!K10)</f>
        <v/>
      </c>
      <c r="M532" s="174" t="str">
        <f>IF(额外法术!L10="","",额外法术!L10)</f>
        <v/>
      </c>
      <c r="N532" s="313" t="s">
        <v>4566</v>
      </c>
      <c r="X532" s="385" t="s">
        <v>4561</v>
      </c>
    </row>
    <row r="533" spans="1:24" ht="16.95" customHeight="1">
      <c r="A533" s="214" t="str">
        <f>IF(额外法术!C11="","",额外法术!C11)</f>
        <v/>
      </c>
      <c r="B533" s="69" t="str">
        <f>IF(额外法术!C11="","",IF(额外法术!B11="戏法",0,额外法术!B11))</f>
        <v/>
      </c>
      <c r="C533" s="69" t="str">
        <f>IF(额外法术!C11="","",额外法术!E11)</f>
        <v/>
      </c>
      <c r="D533" s="69" t="str">
        <f>IF(额外法术!N11="","",额外法术!N11)</f>
        <v/>
      </c>
      <c r="E533" s="69" t="str">
        <f>IF(额外法术!M11="","",额外法术!M11)</f>
        <v/>
      </c>
      <c r="F533" s="72" t="str">
        <f>IF(额外法术!F11="","",额外法术!F11)</f>
        <v/>
      </c>
      <c r="G533" s="71" t="str">
        <f>IF(额外法术!D11="","",额外法术!D11)</f>
        <v/>
      </c>
      <c r="H533" s="69" t="str">
        <f>IF(额外法术!G11="","",额外法术!G11)</f>
        <v/>
      </c>
      <c r="I533" s="69" t="str">
        <f>IF(额外法术!H11="","",额外法术!H11)</f>
        <v/>
      </c>
      <c r="J533" s="69" t="str">
        <f>IF(额外法术!I11="","",额外法术!I11)</f>
        <v/>
      </c>
      <c r="K533" s="71" t="str">
        <f>IF(额外法术!J11="","",额外法术!J11)</f>
        <v/>
      </c>
      <c r="L533" s="71" t="str">
        <f>IF(额外法术!K11="","",额外法术!K11)</f>
        <v/>
      </c>
      <c r="M533" s="174" t="str">
        <f>IF(额外法术!L11="","",额外法术!L11)</f>
        <v/>
      </c>
      <c r="N533" s="313" t="s">
        <v>4566</v>
      </c>
      <c r="X533" s="385" t="s">
        <v>4561</v>
      </c>
    </row>
    <row r="534" spans="1:24" ht="16.95" customHeight="1">
      <c r="A534" s="214" t="str">
        <f>IF(额外法术!C12="","",额外法术!C12)</f>
        <v/>
      </c>
      <c r="B534" s="69" t="str">
        <f>IF(额外法术!C12="","",IF(额外法术!B12="戏法",0,额外法术!B12))</f>
        <v/>
      </c>
      <c r="C534" s="69" t="str">
        <f>IF(额外法术!C12="","",额外法术!E12)</f>
        <v/>
      </c>
      <c r="D534" s="69" t="str">
        <f>IF(额外法术!N12="","",额外法术!N12)</f>
        <v/>
      </c>
      <c r="E534" s="69" t="str">
        <f>IF(额外法术!M12="","",额外法术!M12)</f>
        <v/>
      </c>
      <c r="F534" s="72" t="str">
        <f>IF(额外法术!F12="","",额外法术!F12)</f>
        <v/>
      </c>
      <c r="G534" s="71" t="str">
        <f>IF(额外法术!D12="","",额外法术!D12)</f>
        <v/>
      </c>
      <c r="H534" s="69" t="str">
        <f>IF(额外法术!G12="","",额外法术!G12)</f>
        <v/>
      </c>
      <c r="I534" s="69" t="str">
        <f>IF(额外法术!H12="","",额外法术!H12)</f>
        <v/>
      </c>
      <c r="J534" s="69" t="str">
        <f>IF(额外法术!I12="","",额外法术!I12)</f>
        <v/>
      </c>
      <c r="K534" s="71" t="str">
        <f>IF(额外法术!J12="","",额外法术!J12)</f>
        <v/>
      </c>
      <c r="L534" s="71" t="str">
        <f>IF(额外法术!K12="","",额外法术!K12)</f>
        <v/>
      </c>
      <c r="M534" s="174" t="str">
        <f>IF(额外法术!L12="","",额外法术!L12)</f>
        <v/>
      </c>
      <c r="N534" s="313" t="s">
        <v>4566</v>
      </c>
      <c r="X534" s="385" t="s">
        <v>4561</v>
      </c>
    </row>
    <row r="535" spans="1:24" ht="16.95" customHeight="1">
      <c r="A535" s="214" t="str">
        <f>IF(额外法术!C13="","",额外法术!C13)</f>
        <v/>
      </c>
      <c r="B535" s="69" t="str">
        <f>IF(额外法术!C13="","",IF(额外法术!B13="戏法",0,额外法术!B13))</f>
        <v/>
      </c>
      <c r="C535" s="69" t="str">
        <f>IF(额外法术!C13="","",额外法术!E13)</f>
        <v/>
      </c>
      <c r="D535" s="69" t="str">
        <f>IF(额外法术!N13="","",额外法术!N13)</f>
        <v/>
      </c>
      <c r="E535" s="69" t="str">
        <f>IF(额外法术!M13="","",额外法术!M13)</f>
        <v/>
      </c>
      <c r="F535" s="72" t="str">
        <f>IF(额外法术!F13="","",额外法术!F13)</f>
        <v/>
      </c>
      <c r="G535" s="71" t="str">
        <f>IF(额外法术!D13="","",额外法术!D13)</f>
        <v/>
      </c>
      <c r="H535" s="69" t="str">
        <f>IF(额外法术!G13="","",额外法术!G13)</f>
        <v/>
      </c>
      <c r="I535" s="69" t="str">
        <f>IF(额外法术!H13="","",额外法术!H13)</f>
        <v/>
      </c>
      <c r="J535" s="69" t="str">
        <f>IF(额外法术!I13="","",额外法术!I13)</f>
        <v/>
      </c>
      <c r="K535" s="71" t="str">
        <f>IF(额外法术!J13="","",额外法术!J13)</f>
        <v/>
      </c>
      <c r="L535" s="71" t="str">
        <f>IF(额外法术!K13="","",额外法术!K13)</f>
        <v/>
      </c>
      <c r="M535" s="174" t="str">
        <f>IF(额外法术!L13="","",额外法术!L13)</f>
        <v/>
      </c>
      <c r="N535" s="313" t="s">
        <v>4566</v>
      </c>
      <c r="X535" s="385" t="s">
        <v>4561</v>
      </c>
    </row>
    <row r="536" spans="1:24" ht="16.95" customHeight="1">
      <c r="A536" s="214" t="str">
        <f>IF(额外法术!C14="","",额外法术!C14)</f>
        <v/>
      </c>
      <c r="B536" s="69" t="str">
        <f>IF(额外法术!C14="","",IF(额外法术!B14="戏法",0,额外法术!B14))</f>
        <v/>
      </c>
      <c r="C536" s="69" t="str">
        <f>IF(额外法术!C14="","",额外法术!E14)</f>
        <v/>
      </c>
      <c r="D536" s="69" t="str">
        <f>IF(额外法术!N14="","",额外法术!N14)</f>
        <v/>
      </c>
      <c r="E536" s="69" t="str">
        <f>IF(额外法术!M14="","",额外法术!M14)</f>
        <v/>
      </c>
      <c r="F536" s="72" t="str">
        <f>IF(额外法术!F14="","",额外法术!F14)</f>
        <v/>
      </c>
      <c r="G536" s="71" t="str">
        <f>IF(额外法术!D14="","",额外法术!D14)</f>
        <v/>
      </c>
      <c r="H536" s="69" t="str">
        <f>IF(额外法术!G14="","",额外法术!G14)</f>
        <v/>
      </c>
      <c r="I536" s="69" t="str">
        <f>IF(额外法术!H14="","",额外法术!H14)</f>
        <v/>
      </c>
      <c r="J536" s="69" t="str">
        <f>IF(额外法术!I14="","",额外法术!I14)</f>
        <v/>
      </c>
      <c r="K536" s="71" t="str">
        <f>IF(额外法术!J14="","",额外法术!J14)</f>
        <v/>
      </c>
      <c r="L536" s="71" t="str">
        <f>IF(额外法术!K14="","",额外法术!K14)</f>
        <v/>
      </c>
      <c r="M536" s="174" t="str">
        <f>IF(额外法术!L14="","",额外法术!L14)</f>
        <v/>
      </c>
      <c r="N536" s="313" t="s">
        <v>4566</v>
      </c>
      <c r="X536" s="385" t="s">
        <v>4561</v>
      </c>
    </row>
    <row r="537" spans="1:24" ht="16.95" customHeight="1">
      <c r="A537" s="214" t="str">
        <f>IF(额外法术!C15="","",额外法术!C15)</f>
        <v/>
      </c>
      <c r="B537" s="69" t="str">
        <f>IF(额外法术!C15="","",IF(额外法术!B15="戏法",0,额外法术!B15))</f>
        <v/>
      </c>
      <c r="C537" s="69" t="str">
        <f>IF(额外法术!C15="","",额外法术!E15)</f>
        <v/>
      </c>
      <c r="D537" s="69" t="str">
        <f>IF(额外法术!N15="","",额外法术!N15)</f>
        <v/>
      </c>
      <c r="E537" s="69" t="str">
        <f>IF(额外法术!M15="","",额外法术!M15)</f>
        <v/>
      </c>
      <c r="F537" s="72" t="str">
        <f>IF(额外法术!F15="","",额外法术!F15)</f>
        <v/>
      </c>
      <c r="G537" s="71" t="str">
        <f>IF(额外法术!D15="","",额外法术!D15)</f>
        <v/>
      </c>
      <c r="H537" s="69" t="str">
        <f>IF(额外法术!G15="","",额外法术!G15)</f>
        <v/>
      </c>
      <c r="I537" s="69" t="str">
        <f>IF(额外法术!H15="","",额外法术!H15)</f>
        <v/>
      </c>
      <c r="J537" s="69" t="str">
        <f>IF(额外法术!I15="","",额外法术!I15)</f>
        <v/>
      </c>
      <c r="K537" s="71" t="str">
        <f>IF(额外法术!J15="","",额外法术!J15)</f>
        <v/>
      </c>
      <c r="L537" s="71" t="str">
        <f>IF(额外法术!K15="","",额外法术!K15)</f>
        <v/>
      </c>
      <c r="M537" s="174" t="str">
        <f>IF(额外法术!L15="","",额外法术!L15)</f>
        <v/>
      </c>
      <c r="N537" s="313" t="s">
        <v>4566</v>
      </c>
      <c r="X537" s="385" t="s">
        <v>4561</v>
      </c>
    </row>
    <row r="538" spans="1:24" ht="16.95" customHeight="1">
      <c r="A538" s="214" t="str">
        <f>IF(额外法术!C16="","",额外法术!C16)</f>
        <v/>
      </c>
      <c r="B538" s="69" t="str">
        <f>IF(额外法术!C16="","",IF(额外法术!B16="戏法",0,额外法术!B16))</f>
        <v/>
      </c>
      <c r="C538" s="69" t="str">
        <f>IF(额外法术!C16="","",额外法术!E16)</f>
        <v/>
      </c>
      <c r="D538" s="69" t="str">
        <f>IF(额外法术!N16="","",额外法术!N16)</f>
        <v/>
      </c>
      <c r="E538" s="69" t="str">
        <f>IF(额外法术!M16="","",额外法术!M16)</f>
        <v/>
      </c>
      <c r="F538" s="72" t="str">
        <f>IF(额外法术!F16="","",额外法术!F16)</f>
        <v/>
      </c>
      <c r="G538" s="71" t="str">
        <f>IF(额外法术!D16="","",额外法术!D16)</f>
        <v/>
      </c>
      <c r="H538" s="69" t="str">
        <f>IF(额外法术!G16="","",额外法术!G16)</f>
        <v/>
      </c>
      <c r="I538" s="69" t="str">
        <f>IF(额外法术!H16="","",额外法术!H16)</f>
        <v/>
      </c>
      <c r="J538" s="69" t="str">
        <f>IF(额外法术!I16="","",额外法术!I16)</f>
        <v/>
      </c>
      <c r="K538" s="71" t="str">
        <f>IF(额外法术!J16="","",额外法术!J16)</f>
        <v/>
      </c>
      <c r="L538" s="71" t="str">
        <f>IF(额外法术!K16="","",额外法术!K16)</f>
        <v/>
      </c>
      <c r="M538" s="174" t="str">
        <f>IF(额外法术!L16="","",额外法术!L16)</f>
        <v/>
      </c>
      <c r="N538" s="313" t="s">
        <v>4566</v>
      </c>
      <c r="X538" s="385" t="s">
        <v>4561</v>
      </c>
    </row>
    <row r="539" spans="1:24" ht="16.95" customHeight="1">
      <c r="A539" s="214" t="str">
        <f>IF(额外法术!C17="","",额外法术!C17)</f>
        <v/>
      </c>
      <c r="B539" s="69" t="str">
        <f>IF(额外法术!C17="","",IF(额外法术!B17="戏法",0,额外法术!B17))</f>
        <v/>
      </c>
      <c r="C539" s="69" t="str">
        <f>IF(额外法术!C17="","",额外法术!E17)</f>
        <v/>
      </c>
      <c r="D539" s="69" t="str">
        <f>IF(额外法术!N17="","",额外法术!N17)</f>
        <v/>
      </c>
      <c r="E539" s="69" t="str">
        <f>IF(额外法术!M17="","",额外法术!M17)</f>
        <v/>
      </c>
      <c r="F539" s="72" t="str">
        <f>IF(额外法术!F17="","",额外法术!F17)</f>
        <v/>
      </c>
      <c r="G539" s="71" t="str">
        <f>IF(额外法术!D17="","",额外法术!D17)</f>
        <v/>
      </c>
      <c r="H539" s="69" t="str">
        <f>IF(额外法术!G17="","",额外法术!G17)</f>
        <v/>
      </c>
      <c r="I539" s="69" t="str">
        <f>IF(额外法术!H17="","",额外法术!H17)</f>
        <v/>
      </c>
      <c r="J539" s="69" t="str">
        <f>IF(额外法术!I17="","",额外法术!I17)</f>
        <v/>
      </c>
      <c r="K539" s="71" t="str">
        <f>IF(额外法术!J17="","",额外法术!J17)</f>
        <v/>
      </c>
      <c r="L539" s="71" t="str">
        <f>IF(额外法术!K17="","",额外法术!K17)</f>
        <v/>
      </c>
      <c r="M539" s="174" t="str">
        <f>IF(额外法术!L17="","",额外法术!L17)</f>
        <v/>
      </c>
      <c r="N539" s="313" t="s">
        <v>4566</v>
      </c>
      <c r="X539" s="385" t="s">
        <v>4561</v>
      </c>
    </row>
    <row r="540" spans="1:24" ht="16.95" customHeight="1">
      <c r="A540" s="214" t="str">
        <f>IF(额外法术!C18="","",额外法术!C18)</f>
        <v/>
      </c>
      <c r="B540" s="69" t="str">
        <f>IF(额外法术!C18="","",IF(额外法术!B18="戏法",0,额外法术!B18))</f>
        <v/>
      </c>
      <c r="C540" s="69" t="str">
        <f>IF(额外法术!C18="","",额外法术!E18)</f>
        <v/>
      </c>
      <c r="D540" s="69" t="str">
        <f>IF(额外法术!N18="","",额外法术!N18)</f>
        <v/>
      </c>
      <c r="E540" s="69" t="str">
        <f>IF(额外法术!M18="","",额外法术!M18)</f>
        <v/>
      </c>
      <c r="F540" s="72" t="str">
        <f>IF(额外法术!F18="","",额外法术!F18)</f>
        <v/>
      </c>
      <c r="G540" s="71" t="str">
        <f>IF(额外法术!D18="","",额外法术!D18)</f>
        <v/>
      </c>
      <c r="H540" s="69" t="str">
        <f>IF(额外法术!G18="","",额外法术!G18)</f>
        <v/>
      </c>
      <c r="I540" s="69" t="str">
        <f>IF(额外法术!H18="","",额外法术!H18)</f>
        <v/>
      </c>
      <c r="J540" s="69" t="str">
        <f>IF(额外法术!I18="","",额外法术!I18)</f>
        <v/>
      </c>
      <c r="K540" s="71" t="str">
        <f>IF(额外法术!J18="","",额外法术!J18)</f>
        <v/>
      </c>
      <c r="L540" s="71" t="str">
        <f>IF(额外法术!K18="","",额外法术!K18)</f>
        <v/>
      </c>
      <c r="M540" s="174" t="str">
        <f>IF(额外法术!L18="","",额外法术!L18)</f>
        <v/>
      </c>
      <c r="N540" s="313" t="s">
        <v>4566</v>
      </c>
      <c r="X540" s="385" t="s">
        <v>4561</v>
      </c>
    </row>
    <row r="541" spans="1:24" ht="16.95" customHeight="1">
      <c r="A541" s="214" t="str">
        <f>IF(额外法术!C19="","",额外法术!C19)</f>
        <v/>
      </c>
      <c r="B541" s="69" t="str">
        <f>IF(额外法术!C19="","",IF(额外法术!B19="戏法",0,额外法术!B19))</f>
        <v/>
      </c>
      <c r="C541" s="69" t="str">
        <f>IF(额外法术!C19="","",额外法术!E19)</f>
        <v/>
      </c>
      <c r="D541" s="69" t="str">
        <f>IF(额外法术!N19="","",额外法术!N19)</f>
        <v/>
      </c>
      <c r="E541" s="69" t="str">
        <f>IF(额外法术!M19="","",额外法术!M19)</f>
        <v/>
      </c>
      <c r="F541" s="72" t="str">
        <f>IF(额外法术!F19="","",额外法术!F19)</f>
        <v/>
      </c>
      <c r="G541" s="71" t="str">
        <f>IF(额外法术!D19="","",额外法术!D19)</f>
        <v/>
      </c>
      <c r="H541" s="69" t="str">
        <f>IF(额外法术!G19="","",额外法术!G19)</f>
        <v/>
      </c>
      <c r="I541" s="69" t="str">
        <f>IF(额外法术!H19="","",额外法术!H19)</f>
        <v/>
      </c>
      <c r="J541" s="69" t="str">
        <f>IF(额外法术!I19="","",额外法术!I19)</f>
        <v/>
      </c>
      <c r="K541" s="71" t="str">
        <f>IF(额外法术!J19="","",额外法术!J19)</f>
        <v/>
      </c>
      <c r="L541" s="71" t="str">
        <f>IF(额外法术!K19="","",额外法术!K19)</f>
        <v/>
      </c>
      <c r="M541" s="174" t="str">
        <f>IF(额外法术!L19="","",额外法术!L19)</f>
        <v/>
      </c>
      <c r="N541" s="313" t="s">
        <v>4566</v>
      </c>
      <c r="X541" s="385" t="s">
        <v>4561</v>
      </c>
    </row>
    <row r="542" spans="1:24" ht="16.95" customHeight="1">
      <c r="A542" s="214" t="str">
        <f>IF(额外法术!C20="","",额外法术!C20)</f>
        <v/>
      </c>
      <c r="B542" s="69" t="str">
        <f>IF(额外法术!C20="","",IF(额外法术!B20="戏法",0,额外法术!B20))</f>
        <v/>
      </c>
      <c r="C542" s="69" t="str">
        <f>IF(额外法术!C20="","",额外法术!E20)</f>
        <v/>
      </c>
      <c r="D542" s="69" t="str">
        <f>IF(额外法术!N20="","",额外法术!N20)</f>
        <v/>
      </c>
      <c r="E542" s="69" t="str">
        <f>IF(额外法术!M20="","",额外法术!M20)</f>
        <v/>
      </c>
      <c r="F542" s="72" t="str">
        <f>IF(额外法术!F20="","",额外法术!F20)</f>
        <v/>
      </c>
      <c r="G542" s="71" t="str">
        <f>IF(额外法术!D20="","",额外法术!D20)</f>
        <v/>
      </c>
      <c r="H542" s="69" t="str">
        <f>IF(额外法术!G20="","",额外法术!G20)</f>
        <v/>
      </c>
      <c r="I542" s="69" t="str">
        <f>IF(额外法术!H20="","",额外法术!H20)</f>
        <v/>
      </c>
      <c r="J542" s="69" t="str">
        <f>IF(额外法术!I20="","",额外法术!I20)</f>
        <v/>
      </c>
      <c r="K542" s="71" t="str">
        <f>IF(额外法术!J20="","",额外法术!J20)</f>
        <v/>
      </c>
      <c r="L542" s="71" t="str">
        <f>IF(额外法术!K20="","",额外法术!K20)</f>
        <v/>
      </c>
      <c r="M542" s="174" t="str">
        <f>IF(额外法术!L20="","",额外法术!L20)</f>
        <v/>
      </c>
      <c r="N542" s="313" t="s">
        <v>4566</v>
      </c>
      <c r="X542" s="385" t="s">
        <v>4561</v>
      </c>
    </row>
    <row r="543" spans="1:24" ht="16.95" customHeight="1">
      <c r="A543" s="214" t="str">
        <f>IF(额外法术!C21="","",额外法术!C21)</f>
        <v/>
      </c>
      <c r="B543" s="69" t="str">
        <f>IF(额外法术!C21="","",IF(额外法术!B21="戏法",0,额外法术!B21))</f>
        <v/>
      </c>
      <c r="C543" s="69" t="str">
        <f>IF(额外法术!C21="","",额外法术!E21)</f>
        <v/>
      </c>
      <c r="D543" s="69" t="str">
        <f>IF(额外法术!N21="","",额外法术!N21)</f>
        <v/>
      </c>
      <c r="E543" s="69" t="str">
        <f>IF(额外法术!M21="","",额外法术!M21)</f>
        <v/>
      </c>
      <c r="F543" s="72" t="str">
        <f>IF(额外法术!F21="","",额外法术!F21)</f>
        <v/>
      </c>
      <c r="G543" s="71" t="str">
        <f>IF(额外法术!D21="","",额外法术!D21)</f>
        <v/>
      </c>
      <c r="H543" s="69" t="str">
        <f>IF(额外法术!G21="","",额外法术!G21)</f>
        <v/>
      </c>
      <c r="I543" s="69" t="str">
        <f>IF(额外法术!H21="","",额外法术!H21)</f>
        <v/>
      </c>
      <c r="J543" s="69" t="str">
        <f>IF(额外法术!I21="","",额外法术!I21)</f>
        <v/>
      </c>
      <c r="K543" s="71" t="str">
        <f>IF(额外法术!J21="","",额外法术!J21)</f>
        <v/>
      </c>
      <c r="L543" s="71" t="str">
        <f>IF(额外法术!K21="","",额外法术!K21)</f>
        <v/>
      </c>
      <c r="M543" s="174" t="str">
        <f>IF(额外法术!L21="","",额外法术!L21)</f>
        <v/>
      </c>
      <c r="N543" s="313" t="s">
        <v>4566</v>
      </c>
      <c r="X543" s="385" t="s">
        <v>4561</v>
      </c>
    </row>
    <row r="544" spans="1:24" ht="16.95" customHeight="1">
      <c r="A544" s="214" t="str">
        <f>IF(额外法术!C22="","",额外法术!C22)</f>
        <v/>
      </c>
      <c r="B544" s="69" t="str">
        <f>IF(额外法术!C22="","",IF(额外法术!B22="戏法",0,额外法术!B22))</f>
        <v/>
      </c>
      <c r="C544" s="69" t="str">
        <f>IF(额外法术!C22="","",额外法术!E22)</f>
        <v/>
      </c>
      <c r="D544" s="69" t="str">
        <f>IF(额外法术!N22="","",额外法术!N22)</f>
        <v/>
      </c>
      <c r="E544" s="69" t="str">
        <f>IF(额外法术!M22="","",额外法术!M22)</f>
        <v/>
      </c>
      <c r="F544" s="72" t="str">
        <f>IF(额外法术!F22="","",额外法术!F22)</f>
        <v/>
      </c>
      <c r="G544" s="71" t="str">
        <f>IF(额外法术!D22="","",额外法术!D22)</f>
        <v/>
      </c>
      <c r="H544" s="69" t="str">
        <f>IF(额外法术!G22="","",额外法术!G22)</f>
        <v/>
      </c>
      <c r="I544" s="69" t="str">
        <f>IF(额外法术!H22="","",额外法术!H22)</f>
        <v/>
      </c>
      <c r="J544" s="69" t="str">
        <f>IF(额外法术!I22="","",额外法术!I22)</f>
        <v/>
      </c>
      <c r="K544" s="71" t="str">
        <f>IF(额外法术!J22="","",额外法术!J22)</f>
        <v/>
      </c>
      <c r="L544" s="71" t="str">
        <f>IF(额外法术!K22="","",额外法术!K22)</f>
        <v/>
      </c>
      <c r="M544" s="174" t="str">
        <f>IF(额外法术!L22="","",额外法术!L22)</f>
        <v/>
      </c>
      <c r="N544" s="313" t="s">
        <v>4566</v>
      </c>
      <c r="X544" s="385" t="s">
        <v>4561</v>
      </c>
    </row>
    <row r="545" spans="1:24" ht="16.95" customHeight="1">
      <c r="A545" s="214" t="str">
        <f>IF(额外法术!C23="","",额外法术!C23)</f>
        <v/>
      </c>
      <c r="B545" s="69" t="str">
        <f>IF(额外法术!C23="","",IF(额外法术!B23="戏法",0,额外法术!B23))</f>
        <v/>
      </c>
      <c r="C545" s="69" t="str">
        <f>IF(额外法术!C23="","",额外法术!E23)</f>
        <v/>
      </c>
      <c r="D545" s="69" t="str">
        <f>IF(额外法术!N23="","",额外法术!N23)</f>
        <v/>
      </c>
      <c r="E545" s="69" t="str">
        <f>IF(额外法术!M23="","",额外法术!M23)</f>
        <v/>
      </c>
      <c r="F545" s="72" t="str">
        <f>IF(额外法术!F23="","",额外法术!F23)</f>
        <v/>
      </c>
      <c r="G545" s="71" t="str">
        <f>IF(额外法术!D23="","",额外法术!D23)</f>
        <v/>
      </c>
      <c r="H545" s="69" t="str">
        <f>IF(额外法术!G23="","",额外法术!G23)</f>
        <v/>
      </c>
      <c r="I545" s="69" t="str">
        <f>IF(额外法术!H23="","",额外法术!H23)</f>
        <v/>
      </c>
      <c r="J545" s="69" t="str">
        <f>IF(额外法术!I23="","",额外法术!I23)</f>
        <v/>
      </c>
      <c r="K545" s="71" t="str">
        <f>IF(额外法术!J23="","",额外法术!J23)</f>
        <v/>
      </c>
      <c r="L545" s="71" t="str">
        <f>IF(额外法术!K23="","",额外法术!K23)</f>
        <v/>
      </c>
      <c r="M545" s="174" t="str">
        <f>IF(额外法术!L23="","",额外法术!L23)</f>
        <v/>
      </c>
      <c r="N545" s="313" t="s">
        <v>4566</v>
      </c>
      <c r="X545" s="385" t="s">
        <v>4561</v>
      </c>
    </row>
    <row r="546" spans="1:24" ht="16.95" customHeight="1">
      <c r="A546" s="214" t="str">
        <f>IF(额外法术!C24="","",额外法术!C24)</f>
        <v/>
      </c>
      <c r="B546" s="69" t="str">
        <f>IF(额外法术!C24="","",IF(额外法术!B24="戏法",0,额外法术!B24))</f>
        <v/>
      </c>
      <c r="C546" s="69" t="str">
        <f>IF(额外法术!C24="","",额外法术!E24)</f>
        <v/>
      </c>
      <c r="D546" s="69" t="str">
        <f>IF(额外法术!N24="","",额外法术!N24)</f>
        <v/>
      </c>
      <c r="E546" s="69" t="str">
        <f>IF(额外法术!M24="","",额外法术!M24)</f>
        <v/>
      </c>
      <c r="F546" s="72" t="str">
        <f>IF(额外法术!F24="","",额外法术!F24)</f>
        <v/>
      </c>
      <c r="G546" s="71" t="str">
        <f>IF(额外法术!D24="","",额外法术!D24)</f>
        <v/>
      </c>
      <c r="H546" s="69" t="str">
        <f>IF(额外法术!G24="","",额外法术!G24)</f>
        <v/>
      </c>
      <c r="I546" s="69" t="str">
        <f>IF(额外法术!H24="","",额外法术!H24)</f>
        <v/>
      </c>
      <c r="J546" s="69" t="str">
        <f>IF(额外法术!I24="","",额外法术!I24)</f>
        <v/>
      </c>
      <c r="K546" s="71" t="str">
        <f>IF(额外法术!J24="","",额外法术!J24)</f>
        <v/>
      </c>
      <c r="L546" s="71" t="str">
        <f>IF(额外法术!K24="","",额外法术!K24)</f>
        <v/>
      </c>
      <c r="M546" s="174" t="str">
        <f>IF(额外法术!L24="","",额外法术!L24)</f>
        <v/>
      </c>
      <c r="N546" s="313" t="s">
        <v>4566</v>
      </c>
      <c r="X546" s="385" t="s">
        <v>4561</v>
      </c>
    </row>
    <row r="547" spans="1:24" ht="16.95" customHeight="1">
      <c r="A547" s="214" t="str">
        <f>IF(额外法术!C25="","",额外法术!C25)</f>
        <v/>
      </c>
      <c r="B547" s="69" t="str">
        <f>IF(额外法术!C25="","",IF(额外法术!B25="戏法",0,额外法术!B25))</f>
        <v/>
      </c>
      <c r="C547" s="69" t="str">
        <f>IF(额外法术!C25="","",额外法术!E25)</f>
        <v/>
      </c>
      <c r="D547" s="69" t="str">
        <f>IF(额外法术!N25="","",额外法术!N25)</f>
        <v/>
      </c>
      <c r="E547" s="69" t="str">
        <f>IF(额外法术!M25="","",额外法术!M25)</f>
        <v/>
      </c>
      <c r="F547" s="72" t="str">
        <f>IF(额外法术!F25="","",额外法术!F25)</f>
        <v/>
      </c>
      <c r="G547" s="71" t="str">
        <f>IF(额外法术!D25="","",额外法术!D25)</f>
        <v/>
      </c>
      <c r="H547" s="69" t="str">
        <f>IF(额外法术!G25="","",额外法术!G25)</f>
        <v/>
      </c>
      <c r="I547" s="69" t="str">
        <f>IF(额外法术!H25="","",额外法术!H25)</f>
        <v/>
      </c>
      <c r="J547" s="69" t="str">
        <f>IF(额外法术!I25="","",额外法术!I25)</f>
        <v/>
      </c>
      <c r="K547" s="71" t="str">
        <f>IF(额外法术!J25="","",额外法术!J25)</f>
        <v/>
      </c>
      <c r="L547" s="71" t="str">
        <f>IF(额外法术!K25="","",额外法术!K25)</f>
        <v/>
      </c>
      <c r="M547" s="174" t="str">
        <f>IF(额外法术!L25="","",额外法术!L25)</f>
        <v/>
      </c>
      <c r="N547" s="313" t="s">
        <v>4566</v>
      </c>
      <c r="X547" s="385" t="s">
        <v>4561</v>
      </c>
    </row>
    <row r="548" spans="1:24" ht="16.95" customHeight="1">
      <c r="A548" s="214" t="str">
        <f>IF(额外法术!C26="","",额外法术!C26)</f>
        <v/>
      </c>
      <c r="B548" s="69" t="str">
        <f>IF(额外法术!C26="","",IF(额外法术!B26="戏法",0,额外法术!B26))</f>
        <v/>
      </c>
      <c r="C548" s="69" t="str">
        <f>IF(额外法术!C26="","",额外法术!E26)</f>
        <v/>
      </c>
      <c r="D548" s="69" t="str">
        <f>IF(额外法术!N26="","",额外法术!N26)</f>
        <v/>
      </c>
      <c r="E548" s="69" t="str">
        <f>IF(额外法术!M26="","",额外法术!M26)</f>
        <v/>
      </c>
      <c r="F548" s="72" t="str">
        <f>IF(额外法术!F26="","",额外法术!F26)</f>
        <v/>
      </c>
      <c r="G548" s="71" t="str">
        <f>IF(额外法术!D26="","",额外法术!D26)</f>
        <v/>
      </c>
      <c r="H548" s="69" t="str">
        <f>IF(额外法术!G26="","",额外法术!G26)</f>
        <v/>
      </c>
      <c r="I548" s="69" t="str">
        <f>IF(额外法术!H26="","",额外法术!H26)</f>
        <v/>
      </c>
      <c r="J548" s="69" t="str">
        <f>IF(额外法术!I26="","",额外法术!I26)</f>
        <v/>
      </c>
      <c r="K548" s="71" t="str">
        <f>IF(额外法术!J26="","",额外法术!J26)</f>
        <v/>
      </c>
      <c r="L548" s="71" t="str">
        <f>IF(额外法术!K26="","",额外法术!K26)</f>
        <v/>
      </c>
      <c r="M548" s="174" t="str">
        <f>IF(额外法术!L26="","",额外法术!L26)</f>
        <v/>
      </c>
      <c r="N548" s="313" t="s">
        <v>4566</v>
      </c>
      <c r="X548" s="385" t="s">
        <v>4561</v>
      </c>
    </row>
    <row r="549" spans="1:24" ht="16.95" customHeight="1">
      <c r="A549" s="214" t="str">
        <f>IF(额外法术!C27="","",额外法术!C27)</f>
        <v/>
      </c>
      <c r="B549" s="69" t="str">
        <f>IF(额外法术!C27="","",IF(额外法术!B27="戏法",0,额外法术!B27))</f>
        <v/>
      </c>
      <c r="C549" s="69" t="str">
        <f>IF(额外法术!C27="","",额外法术!E27)</f>
        <v/>
      </c>
      <c r="D549" s="69" t="str">
        <f>IF(额外法术!N27="","",额外法术!N27)</f>
        <v/>
      </c>
      <c r="E549" s="69" t="str">
        <f>IF(额外法术!M27="","",额外法术!M27)</f>
        <v/>
      </c>
      <c r="F549" s="72" t="str">
        <f>IF(额外法术!F27="","",额外法术!F27)</f>
        <v/>
      </c>
      <c r="G549" s="71" t="str">
        <f>IF(额外法术!D27="","",额外法术!D27)</f>
        <v/>
      </c>
      <c r="H549" s="69" t="str">
        <f>IF(额外法术!G27="","",额外法术!G27)</f>
        <v/>
      </c>
      <c r="I549" s="69" t="str">
        <f>IF(额外法术!H27="","",额外法术!H27)</f>
        <v/>
      </c>
      <c r="J549" s="69" t="str">
        <f>IF(额外法术!I27="","",额外法术!I27)</f>
        <v/>
      </c>
      <c r="K549" s="71" t="str">
        <f>IF(额外法术!J27="","",额外法术!J27)</f>
        <v/>
      </c>
      <c r="L549" s="71" t="str">
        <f>IF(额外法术!K27="","",额外法术!K27)</f>
        <v/>
      </c>
      <c r="M549" s="174" t="str">
        <f>IF(额外法术!L27="","",额外法术!L27)</f>
        <v/>
      </c>
      <c r="N549" s="313" t="s">
        <v>4566</v>
      </c>
      <c r="X549" s="385" t="s">
        <v>4561</v>
      </c>
    </row>
    <row r="550" spans="1:24" ht="16.95" customHeight="1">
      <c r="A550" s="214" t="str">
        <f>IF(额外法术!C28="","",额外法术!C28)</f>
        <v/>
      </c>
      <c r="B550" s="69" t="str">
        <f>IF(额外法术!C28="","",IF(额外法术!B28="戏法",0,额外法术!B28))</f>
        <v/>
      </c>
      <c r="C550" s="69" t="str">
        <f>IF(额外法术!C28="","",额外法术!E28)</f>
        <v/>
      </c>
      <c r="D550" s="69" t="str">
        <f>IF(额外法术!N28="","",额外法术!N28)</f>
        <v/>
      </c>
      <c r="E550" s="69" t="str">
        <f>IF(额外法术!M28="","",额外法术!M28)</f>
        <v/>
      </c>
      <c r="F550" s="72" t="str">
        <f>IF(额外法术!F28="","",额外法术!F28)</f>
        <v/>
      </c>
      <c r="G550" s="71" t="str">
        <f>IF(额外法术!D28="","",额外法术!D28)</f>
        <v/>
      </c>
      <c r="H550" s="69" t="str">
        <f>IF(额外法术!G28="","",额外法术!G28)</f>
        <v/>
      </c>
      <c r="I550" s="69" t="str">
        <f>IF(额外法术!H28="","",额外法术!H28)</f>
        <v/>
      </c>
      <c r="J550" s="69" t="str">
        <f>IF(额外法术!I28="","",额外法术!I28)</f>
        <v/>
      </c>
      <c r="K550" s="71" t="str">
        <f>IF(额外法术!J28="","",额外法术!J28)</f>
        <v/>
      </c>
      <c r="L550" s="71" t="str">
        <f>IF(额外法术!K28="","",额外法术!K28)</f>
        <v/>
      </c>
      <c r="M550" s="174" t="str">
        <f>IF(额外法术!L28="","",额外法术!L28)</f>
        <v/>
      </c>
      <c r="N550" s="313" t="s">
        <v>4566</v>
      </c>
      <c r="X550" s="385" t="s">
        <v>4561</v>
      </c>
    </row>
    <row r="551" spans="1:24" ht="16.95" customHeight="1">
      <c r="A551" s="214" t="str">
        <f>IF(额外法术!C29="","",额外法术!C29)</f>
        <v/>
      </c>
      <c r="B551" s="69" t="str">
        <f>IF(额外法术!C29="","",IF(额外法术!B29="戏法",0,额外法术!B29))</f>
        <v/>
      </c>
      <c r="C551" s="69" t="str">
        <f>IF(额外法术!C29="","",额外法术!E29)</f>
        <v/>
      </c>
      <c r="D551" s="69" t="str">
        <f>IF(额外法术!N29="","",额外法术!N29)</f>
        <v/>
      </c>
      <c r="E551" s="69" t="str">
        <f>IF(额外法术!M29="","",额外法术!M29)</f>
        <v/>
      </c>
      <c r="F551" s="72" t="str">
        <f>IF(额外法术!F29="","",额外法术!F29)</f>
        <v/>
      </c>
      <c r="G551" s="71" t="str">
        <f>IF(额外法术!D29="","",额外法术!D29)</f>
        <v/>
      </c>
      <c r="H551" s="69" t="str">
        <f>IF(额外法术!G29="","",额外法术!G29)</f>
        <v/>
      </c>
      <c r="I551" s="69" t="str">
        <f>IF(额外法术!H29="","",额外法术!H29)</f>
        <v/>
      </c>
      <c r="J551" s="69" t="str">
        <f>IF(额外法术!I29="","",额外法术!I29)</f>
        <v/>
      </c>
      <c r="K551" s="71" t="str">
        <f>IF(额外法术!J29="","",额外法术!J29)</f>
        <v/>
      </c>
      <c r="L551" s="71" t="str">
        <f>IF(额外法术!K29="","",额外法术!K29)</f>
        <v/>
      </c>
      <c r="M551" s="174" t="str">
        <f>IF(额外法术!L29="","",额外法术!L29)</f>
        <v/>
      </c>
      <c r="N551" s="313" t="s">
        <v>4566</v>
      </c>
      <c r="X551" s="385" t="s">
        <v>4561</v>
      </c>
    </row>
    <row r="552" spans="1:24" ht="16.95" customHeight="1">
      <c r="A552" s="214" t="str">
        <f>IF(额外法术!C30="","",额外法术!C30)</f>
        <v/>
      </c>
      <c r="B552" s="69" t="str">
        <f>IF(额外法术!C30="","",IF(额外法术!B30="戏法",0,额外法术!B30))</f>
        <v/>
      </c>
      <c r="C552" s="69" t="str">
        <f>IF(额外法术!C30="","",额外法术!E30)</f>
        <v/>
      </c>
      <c r="D552" s="69" t="str">
        <f>IF(额外法术!N30="","",额外法术!N30)</f>
        <v/>
      </c>
      <c r="E552" s="69" t="str">
        <f>IF(额外法术!M30="","",额外法术!M30)</f>
        <v/>
      </c>
      <c r="F552" s="72" t="str">
        <f>IF(额外法术!F30="","",额外法术!F30)</f>
        <v/>
      </c>
      <c r="G552" s="71" t="str">
        <f>IF(额外法术!D30="","",额外法术!D30)</f>
        <v/>
      </c>
      <c r="H552" s="69" t="str">
        <f>IF(额外法术!G30="","",额外法术!G30)</f>
        <v/>
      </c>
      <c r="I552" s="69" t="str">
        <f>IF(额外法术!H30="","",额外法术!H30)</f>
        <v/>
      </c>
      <c r="J552" s="69" t="str">
        <f>IF(额外法术!I30="","",额外法术!I30)</f>
        <v/>
      </c>
      <c r="K552" s="71" t="str">
        <f>IF(额外法术!J30="","",额外法术!J30)</f>
        <v/>
      </c>
      <c r="L552" s="71" t="str">
        <f>IF(额外法术!K30="","",额外法术!K30)</f>
        <v/>
      </c>
      <c r="M552" s="174" t="str">
        <f>IF(额外法术!L30="","",额外法术!L30)</f>
        <v/>
      </c>
      <c r="N552" s="313" t="s">
        <v>4566</v>
      </c>
      <c r="X552" s="385" t="s">
        <v>4561</v>
      </c>
    </row>
    <row r="553" spans="1:24" ht="16.95" customHeight="1">
      <c r="A553" s="214" t="str">
        <f>IF(额外法术!C31="","",额外法术!C31)</f>
        <v/>
      </c>
      <c r="B553" s="69" t="str">
        <f>IF(额外法术!C31="","",IF(额外法术!B31="戏法",0,额外法术!B31))</f>
        <v/>
      </c>
      <c r="C553" s="69" t="str">
        <f>IF(额外法术!C31="","",额外法术!E31)</f>
        <v/>
      </c>
      <c r="D553" s="69" t="str">
        <f>IF(额外法术!N31="","",额外法术!N31)</f>
        <v/>
      </c>
      <c r="E553" s="69" t="str">
        <f>IF(额外法术!M31="","",额外法术!M31)</f>
        <v/>
      </c>
      <c r="F553" s="72" t="str">
        <f>IF(额外法术!F31="","",额外法术!F31)</f>
        <v/>
      </c>
      <c r="G553" s="71" t="str">
        <f>IF(额外法术!D31="","",额外法术!D31)</f>
        <v/>
      </c>
      <c r="H553" s="69" t="str">
        <f>IF(额外法术!G31="","",额外法术!G31)</f>
        <v/>
      </c>
      <c r="I553" s="69" t="str">
        <f>IF(额外法术!H31="","",额外法术!H31)</f>
        <v/>
      </c>
      <c r="J553" s="69" t="str">
        <f>IF(额外法术!I31="","",额外法术!I31)</f>
        <v/>
      </c>
      <c r="K553" s="71" t="str">
        <f>IF(额外法术!J31="","",额外法术!J31)</f>
        <v/>
      </c>
      <c r="L553" s="71" t="str">
        <f>IF(额外法术!K31="","",额外法术!K31)</f>
        <v/>
      </c>
      <c r="M553" s="174" t="str">
        <f>IF(额外法术!L31="","",额外法术!L31)</f>
        <v/>
      </c>
      <c r="N553" s="313" t="s">
        <v>4566</v>
      </c>
      <c r="X553" s="385" t="s">
        <v>4561</v>
      </c>
    </row>
    <row r="554" spans="1:24" ht="16.95" customHeight="1">
      <c r="A554" s="214" t="str">
        <f>IF(额外法术!C32="","",额外法术!C32)</f>
        <v/>
      </c>
      <c r="B554" s="69" t="str">
        <f>IF(额外法术!C32="","",IF(额外法术!B32="戏法",0,额外法术!B32))</f>
        <v/>
      </c>
      <c r="C554" s="69" t="str">
        <f>IF(额外法术!C32="","",额外法术!E32)</f>
        <v/>
      </c>
      <c r="D554" s="69" t="str">
        <f>IF(额外法术!N32="","",额外法术!N32)</f>
        <v/>
      </c>
      <c r="E554" s="69" t="str">
        <f>IF(额外法术!M32="","",额外法术!M32)</f>
        <v/>
      </c>
      <c r="F554" s="72" t="str">
        <f>IF(额外法术!F32="","",额外法术!F32)</f>
        <v/>
      </c>
      <c r="G554" s="71" t="str">
        <f>IF(额外法术!D32="","",额外法术!D32)</f>
        <v/>
      </c>
      <c r="H554" s="69" t="str">
        <f>IF(额外法术!G32="","",额外法术!G32)</f>
        <v/>
      </c>
      <c r="I554" s="69" t="str">
        <f>IF(额外法术!H32="","",额外法术!H32)</f>
        <v/>
      </c>
      <c r="J554" s="69" t="str">
        <f>IF(额外法术!I32="","",额外法术!I32)</f>
        <v/>
      </c>
      <c r="K554" s="71" t="str">
        <f>IF(额外法术!J32="","",额外法术!J32)</f>
        <v/>
      </c>
      <c r="L554" s="71" t="str">
        <f>IF(额外法术!K32="","",额外法术!K32)</f>
        <v/>
      </c>
      <c r="M554" s="174" t="str">
        <f>IF(额外法术!L32="","",额外法术!L32)</f>
        <v/>
      </c>
      <c r="N554" s="313" t="s">
        <v>4566</v>
      </c>
      <c r="X554" s="385" t="s">
        <v>4561</v>
      </c>
    </row>
    <row r="555" spans="1:24" ht="16.95" customHeight="1">
      <c r="A555" s="214" t="str">
        <f>IF(额外法术!C33="","",额外法术!C33)</f>
        <v/>
      </c>
      <c r="B555" s="69" t="str">
        <f>IF(额外法术!C33="","",IF(额外法术!B33="戏法",0,额外法术!B33))</f>
        <v/>
      </c>
      <c r="C555" s="69" t="str">
        <f>IF(额外法术!C33="","",额外法术!E33)</f>
        <v/>
      </c>
      <c r="D555" s="69" t="str">
        <f>IF(额外法术!N33="","",额外法术!N33)</f>
        <v/>
      </c>
      <c r="E555" s="69" t="str">
        <f>IF(额外法术!M33="","",额外法术!M33)</f>
        <v/>
      </c>
      <c r="F555" s="72" t="str">
        <f>IF(额外法术!F33="","",额外法术!F33)</f>
        <v/>
      </c>
      <c r="G555" s="71" t="str">
        <f>IF(额外法术!D33="","",额外法术!D33)</f>
        <v/>
      </c>
      <c r="H555" s="69" t="str">
        <f>IF(额外法术!G33="","",额外法术!G33)</f>
        <v/>
      </c>
      <c r="I555" s="69" t="str">
        <f>IF(额外法术!H33="","",额外法术!H33)</f>
        <v/>
      </c>
      <c r="J555" s="69" t="str">
        <f>IF(额外法术!I33="","",额外法术!I33)</f>
        <v/>
      </c>
      <c r="K555" s="71" t="str">
        <f>IF(额外法术!J33="","",额外法术!J33)</f>
        <v/>
      </c>
      <c r="L555" s="71" t="str">
        <f>IF(额外法术!K33="","",额外法术!K33)</f>
        <v/>
      </c>
      <c r="M555" s="174" t="str">
        <f>IF(额外法术!L33="","",额外法术!L33)</f>
        <v/>
      </c>
      <c r="N555" s="313" t="s">
        <v>4566</v>
      </c>
      <c r="X555" s="385" t="s">
        <v>4561</v>
      </c>
    </row>
    <row r="556" spans="1:24" ht="16.95" customHeight="1">
      <c r="A556" s="214" t="str">
        <f>IF(额外法术!C34="","",额外法术!C34)</f>
        <v/>
      </c>
      <c r="B556" s="69" t="str">
        <f>IF(额外法术!C34="","",IF(额外法术!B34="戏法",0,额外法术!B34))</f>
        <v/>
      </c>
      <c r="C556" s="69" t="str">
        <f>IF(额外法术!C34="","",额外法术!E34)</f>
        <v/>
      </c>
      <c r="D556" s="69" t="str">
        <f>IF(额外法术!N34="","",额外法术!N34)</f>
        <v/>
      </c>
      <c r="E556" s="69" t="str">
        <f>IF(额外法术!M34="","",额外法术!M34)</f>
        <v/>
      </c>
      <c r="F556" s="72" t="str">
        <f>IF(额外法术!F34="","",额外法术!F34)</f>
        <v/>
      </c>
      <c r="G556" s="71" t="str">
        <f>IF(额外法术!D34="","",额外法术!D34)</f>
        <v/>
      </c>
      <c r="H556" s="69" t="str">
        <f>IF(额外法术!G34="","",额外法术!G34)</f>
        <v/>
      </c>
      <c r="I556" s="69" t="str">
        <f>IF(额外法术!H34="","",额外法术!H34)</f>
        <v/>
      </c>
      <c r="J556" s="69" t="str">
        <f>IF(额外法术!I34="","",额外法术!I34)</f>
        <v/>
      </c>
      <c r="K556" s="71" t="str">
        <f>IF(额外法术!J34="","",额外法术!J34)</f>
        <v/>
      </c>
      <c r="L556" s="71" t="str">
        <f>IF(额外法术!K34="","",额外法术!K34)</f>
        <v/>
      </c>
      <c r="M556" s="174" t="str">
        <f>IF(额外法术!L34="","",额外法术!L34)</f>
        <v/>
      </c>
      <c r="N556" s="313" t="s">
        <v>4566</v>
      </c>
      <c r="X556" s="385" t="s">
        <v>4561</v>
      </c>
    </row>
    <row r="557" spans="1:24" ht="16.95" customHeight="1">
      <c r="A557" s="214" t="str">
        <f>IF(额外法术!C35="","",额外法术!C35)</f>
        <v/>
      </c>
      <c r="B557" s="69" t="str">
        <f>IF(额外法术!C35="","",IF(额外法术!B35="戏法",0,额外法术!B35))</f>
        <v/>
      </c>
      <c r="C557" s="69" t="str">
        <f>IF(额外法术!C35="","",额外法术!E35)</f>
        <v/>
      </c>
      <c r="D557" s="69" t="str">
        <f>IF(额外法术!N35="","",额外法术!N35)</f>
        <v/>
      </c>
      <c r="E557" s="69" t="str">
        <f>IF(额外法术!M35="","",额外法术!M35)</f>
        <v/>
      </c>
      <c r="F557" s="72" t="str">
        <f>IF(额外法术!F35="","",额外法术!F35)</f>
        <v/>
      </c>
      <c r="G557" s="71" t="str">
        <f>IF(额外法术!D35="","",额外法术!D35)</f>
        <v/>
      </c>
      <c r="H557" s="69" t="str">
        <f>IF(额外法术!G35="","",额外法术!G35)</f>
        <v/>
      </c>
      <c r="I557" s="69" t="str">
        <f>IF(额外法术!H35="","",额外法术!H35)</f>
        <v/>
      </c>
      <c r="J557" s="69" t="str">
        <f>IF(额外法术!I35="","",额外法术!I35)</f>
        <v/>
      </c>
      <c r="K557" s="71" t="str">
        <f>IF(额外法术!J35="","",额外法术!J35)</f>
        <v/>
      </c>
      <c r="L557" s="71" t="str">
        <f>IF(额外法术!K35="","",额外法术!K35)</f>
        <v/>
      </c>
      <c r="M557" s="174" t="str">
        <f>IF(额外法术!L35="","",额外法术!L35)</f>
        <v/>
      </c>
      <c r="N557" s="313" t="s">
        <v>4566</v>
      </c>
      <c r="X557" s="385" t="s">
        <v>4561</v>
      </c>
    </row>
    <row r="558" spans="1:24" ht="16.95" customHeight="1">
      <c r="A558" s="214" t="str">
        <f>IF(额外法术!C36="","",额外法术!C36)</f>
        <v/>
      </c>
      <c r="B558" s="69" t="str">
        <f>IF(额外法术!C36="","",IF(额外法术!B36="戏法",0,额外法术!B36))</f>
        <v/>
      </c>
      <c r="C558" s="69" t="str">
        <f>IF(额外法术!C36="","",额外法术!E36)</f>
        <v/>
      </c>
      <c r="D558" s="69" t="str">
        <f>IF(额外法术!N36="","",额外法术!N36)</f>
        <v/>
      </c>
      <c r="E558" s="69" t="str">
        <f>IF(额外法术!M36="","",额外法术!M36)</f>
        <v/>
      </c>
      <c r="F558" s="72" t="str">
        <f>IF(额外法术!F36="","",额外法术!F36)</f>
        <v/>
      </c>
      <c r="G558" s="71" t="str">
        <f>IF(额外法术!D36="","",额外法术!D36)</f>
        <v/>
      </c>
      <c r="H558" s="69" t="str">
        <f>IF(额外法术!G36="","",额外法术!G36)</f>
        <v/>
      </c>
      <c r="I558" s="69" t="str">
        <f>IF(额外法术!H36="","",额外法术!H36)</f>
        <v/>
      </c>
      <c r="J558" s="69" t="str">
        <f>IF(额外法术!I36="","",额外法术!I36)</f>
        <v/>
      </c>
      <c r="K558" s="71" t="str">
        <f>IF(额外法术!J36="","",额外法术!J36)</f>
        <v/>
      </c>
      <c r="L558" s="71" t="str">
        <f>IF(额外法术!K36="","",额外法术!K36)</f>
        <v/>
      </c>
      <c r="M558" s="174" t="str">
        <f>IF(额外法术!L36="","",额外法术!L36)</f>
        <v/>
      </c>
      <c r="N558" s="313" t="s">
        <v>4566</v>
      </c>
      <c r="X558" s="385" t="s">
        <v>4561</v>
      </c>
    </row>
    <row r="559" spans="1:24" ht="16.95" customHeight="1">
      <c r="A559" s="214" t="str">
        <f>IF(额外法术!C37="","",额外法术!C37)</f>
        <v/>
      </c>
      <c r="B559" s="69" t="str">
        <f>IF(额外法术!C37="","",IF(额外法术!B37="戏法",0,额外法术!B37))</f>
        <v/>
      </c>
      <c r="C559" s="69" t="str">
        <f>IF(额外法术!C37="","",额外法术!E37)</f>
        <v/>
      </c>
      <c r="D559" s="69" t="str">
        <f>IF(额外法术!N37="","",额外法术!N37)</f>
        <v/>
      </c>
      <c r="E559" s="69" t="str">
        <f>IF(额外法术!M37="","",额外法术!M37)</f>
        <v/>
      </c>
      <c r="F559" s="72" t="str">
        <f>IF(额外法术!F37="","",额外法术!F37)</f>
        <v/>
      </c>
      <c r="G559" s="71" t="str">
        <f>IF(额外法术!D37="","",额外法术!D37)</f>
        <v/>
      </c>
      <c r="H559" s="69" t="str">
        <f>IF(额外法术!G37="","",额外法术!G37)</f>
        <v/>
      </c>
      <c r="I559" s="69" t="str">
        <f>IF(额外法术!H37="","",额外法术!H37)</f>
        <v/>
      </c>
      <c r="J559" s="69" t="str">
        <f>IF(额外法术!I37="","",额外法术!I37)</f>
        <v/>
      </c>
      <c r="K559" s="71" t="str">
        <f>IF(额外法术!J37="","",额外法术!J37)</f>
        <v/>
      </c>
      <c r="L559" s="71" t="str">
        <f>IF(额外法术!K37="","",额外法术!K37)</f>
        <v/>
      </c>
      <c r="M559" s="174" t="str">
        <f>IF(额外法术!L37="","",额外法术!L37)</f>
        <v/>
      </c>
      <c r="N559" s="313" t="s">
        <v>4566</v>
      </c>
      <c r="X559" s="385" t="s">
        <v>4561</v>
      </c>
    </row>
    <row r="560" spans="1:24" ht="16.95" customHeight="1">
      <c r="A560" s="214" t="str">
        <f>IF(额外法术!C38="","",额外法术!C38)</f>
        <v/>
      </c>
      <c r="B560" s="69" t="str">
        <f>IF(额外法术!C38="","",IF(额外法术!B38="戏法",0,额外法术!B38))</f>
        <v/>
      </c>
      <c r="C560" s="69" t="str">
        <f>IF(额外法术!C38="","",额外法术!E38)</f>
        <v/>
      </c>
      <c r="D560" s="69" t="str">
        <f>IF(额外法术!N38="","",额外法术!N38)</f>
        <v/>
      </c>
      <c r="E560" s="69" t="str">
        <f>IF(额外法术!M38="","",额外法术!M38)</f>
        <v/>
      </c>
      <c r="F560" s="72" t="str">
        <f>IF(额外法术!F38="","",额外法术!F38)</f>
        <v/>
      </c>
      <c r="G560" s="71" t="str">
        <f>IF(额外法术!D38="","",额外法术!D38)</f>
        <v/>
      </c>
      <c r="H560" s="69" t="str">
        <f>IF(额外法术!G38="","",额外法术!G38)</f>
        <v/>
      </c>
      <c r="I560" s="69" t="str">
        <f>IF(额外法术!H38="","",额外法术!H38)</f>
        <v/>
      </c>
      <c r="J560" s="69" t="str">
        <f>IF(额外法术!I38="","",额外法术!I38)</f>
        <v/>
      </c>
      <c r="K560" s="71" t="str">
        <f>IF(额外法术!J38="","",额外法术!J38)</f>
        <v/>
      </c>
      <c r="L560" s="71" t="str">
        <f>IF(额外法术!K38="","",额外法术!K38)</f>
        <v/>
      </c>
      <c r="M560" s="174" t="str">
        <f>IF(额外法术!L38="","",额外法术!L38)</f>
        <v/>
      </c>
      <c r="N560" s="313" t="s">
        <v>4566</v>
      </c>
      <c r="X560" s="385" t="s">
        <v>4561</v>
      </c>
    </row>
    <row r="561" spans="1:24" ht="16.95" customHeight="1">
      <c r="A561" s="214" t="str">
        <f>IF(额外法术!C39="","",额外法术!C39)</f>
        <v/>
      </c>
      <c r="B561" s="69" t="str">
        <f>IF(额外法术!C39="","",IF(额外法术!B39="戏法",0,额外法术!B39))</f>
        <v/>
      </c>
      <c r="C561" s="69" t="str">
        <f>IF(额外法术!C39="","",额外法术!E39)</f>
        <v/>
      </c>
      <c r="D561" s="69" t="str">
        <f>IF(额外法术!N39="","",额外法术!N39)</f>
        <v/>
      </c>
      <c r="E561" s="69" t="str">
        <f>IF(额外法术!M39="","",额外法术!M39)</f>
        <v/>
      </c>
      <c r="F561" s="72" t="str">
        <f>IF(额外法术!F39="","",额外法术!F39)</f>
        <v/>
      </c>
      <c r="G561" s="71" t="str">
        <f>IF(额外法术!D39="","",额外法术!D39)</f>
        <v/>
      </c>
      <c r="H561" s="69" t="str">
        <f>IF(额外法术!G39="","",额外法术!G39)</f>
        <v/>
      </c>
      <c r="I561" s="69" t="str">
        <f>IF(额外法术!H39="","",额外法术!H39)</f>
        <v/>
      </c>
      <c r="J561" s="69" t="str">
        <f>IF(额外法术!I39="","",额外法术!I39)</f>
        <v/>
      </c>
      <c r="K561" s="71" t="str">
        <f>IF(额外法术!J39="","",额外法术!J39)</f>
        <v/>
      </c>
      <c r="L561" s="71" t="str">
        <f>IF(额外法术!K39="","",额外法术!K39)</f>
        <v/>
      </c>
      <c r="M561" s="174" t="str">
        <f>IF(额外法术!L39="","",额外法术!L39)</f>
        <v/>
      </c>
      <c r="N561" s="313" t="s">
        <v>4566</v>
      </c>
      <c r="X561" s="385" t="s">
        <v>4561</v>
      </c>
    </row>
    <row r="562" spans="1:24" ht="16.95" customHeight="1">
      <c r="A562" s="214" t="str">
        <f>IF(额外法术!C40="","",额外法术!C40)</f>
        <v/>
      </c>
      <c r="B562" s="69" t="str">
        <f>IF(额外法术!C40="","",IF(额外法术!B40="戏法",0,额外法术!B40))</f>
        <v/>
      </c>
      <c r="C562" s="69" t="str">
        <f>IF(额外法术!C40="","",额外法术!E40)</f>
        <v/>
      </c>
      <c r="D562" s="69" t="str">
        <f>IF(额外法术!N40="","",额外法术!N40)</f>
        <v/>
      </c>
      <c r="E562" s="69" t="str">
        <f>IF(额外法术!M40="","",额外法术!M40)</f>
        <v/>
      </c>
      <c r="F562" s="72" t="str">
        <f>IF(额外法术!F40="","",额外法术!F40)</f>
        <v/>
      </c>
      <c r="G562" s="71" t="str">
        <f>IF(额外法术!D40="","",额外法术!D40)</f>
        <v/>
      </c>
      <c r="H562" s="69" t="str">
        <f>IF(额外法术!G40="","",额外法术!G40)</f>
        <v/>
      </c>
      <c r="I562" s="69" t="str">
        <f>IF(额外法术!H40="","",额外法术!H40)</f>
        <v/>
      </c>
      <c r="J562" s="69" t="str">
        <f>IF(额外法术!I40="","",额外法术!I40)</f>
        <v/>
      </c>
      <c r="K562" s="71" t="str">
        <f>IF(额外法术!J40="","",额外法术!J40)</f>
        <v/>
      </c>
      <c r="L562" s="71" t="str">
        <f>IF(额外法术!K40="","",额外法术!K40)</f>
        <v/>
      </c>
      <c r="M562" s="174" t="str">
        <f>IF(额外法术!L40="","",额外法术!L40)</f>
        <v/>
      </c>
      <c r="N562" s="313" t="s">
        <v>4566</v>
      </c>
      <c r="X562" s="385" t="s">
        <v>4561</v>
      </c>
    </row>
    <row r="563" spans="1:24" ht="16.95" customHeight="1">
      <c r="A563" s="214" t="str">
        <f>IF(额外法术!C41="","",额外法术!C41)</f>
        <v/>
      </c>
      <c r="B563" s="69" t="str">
        <f>IF(额外法术!C41="","",IF(额外法术!B41="戏法",0,额外法术!B41))</f>
        <v/>
      </c>
      <c r="C563" s="69" t="str">
        <f>IF(额外法术!C41="","",额外法术!E41)</f>
        <v/>
      </c>
      <c r="D563" s="69" t="str">
        <f>IF(额外法术!N41="","",额外法术!N41)</f>
        <v/>
      </c>
      <c r="E563" s="69" t="str">
        <f>IF(额外法术!M41="","",额外法术!M41)</f>
        <v/>
      </c>
      <c r="F563" s="72" t="str">
        <f>IF(额外法术!F41="","",额外法术!F41)</f>
        <v/>
      </c>
      <c r="G563" s="71" t="str">
        <f>IF(额外法术!D41="","",额外法术!D41)</f>
        <v/>
      </c>
      <c r="H563" s="69" t="str">
        <f>IF(额外法术!G41="","",额外法术!G41)</f>
        <v/>
      </c>
      <c r="I563" s="69" t="str">
        <f>IF(额外法术!H41="","",额外法术!H41)</f>
        <v/>
      </c>
      <c r="J563" s="69" t="str">
        <f>IF(额外法术!I41="","",额外法术!I41)</f>
        <v/>
      </c>
      <c r="K563" s="71" t="str">
        <f>IF(额外法术!J41="","",额外法术!J41)</f>
        <v/>
      </c>
      <c r="L563" s="71" t="str">
        <f>IF(额外法术!K41="","",额外法术!K41)</f>
        <v/>
      </c>
      <c r="M563" s="174" t="str">
        <f>IF(额外法术!L41="","",额外法术!L41)</f>
        <v/>
      </c>
      <c r="N563" s="313" t="s">
        <v>4566</v>
      </c>
      <c r="X563" s="385" t="s">
        <v>4561</v>
      </c>
    </row>
    <row r="564" spans="1:24" ht="16.95" customHeight="1">
      <c r="A564" s="214" t="str">
        <f>IF(额外法术!C42="","",额外法术!C42)</f>
        <v/>
      </c>
      <c r="B564" s="69" t="str">
        <f>IF(额外法术!C42="","",IF(额外法术!B42="戏法",0,额外法术!B42))</f>
        <v/>
      </c>
      <c r="C564" s="69" t="str">
        <f>IF(额外法术!C42="","",额外法术!E42)</f>
        <v/>
      </c>
      <c r="D564" s="69" t="str">
        <f>IF(额外法术!N42="","",额外法术!N42)</f>
        <v/>
      </c>
      <c r="E564" s="69" t="str">
        <f>IF(额外法术!M42="","",额外法术!M42)</f>
        <v/>
      </c>
      <c r="F564" s="72" t="str">
        <f>IF(额外法术!F42="","",额外法术!F42)</f>
        <v/>
      </c>
      <c r="G564" s="71" t="str">
        <f>IF(额外法术!D42="","",额外法术!D42)</f>
        <v/>
      </c>
      <c r="H564" s="69" t="str">
        <f>IF(额外法术!G42="","",额外法术!G42)</f>
        <v/>
      </c>
      <c r="I564" s="69" t="str">
        <f>IF(额外法术!H42="","",额外法术!H42)</f>
        <v/>
      </c>
      <c r="J564" s="69" t="str">
        <f>IF(额外法术!I42="","",额外法术!I42)</f>
        <v/>
      </c>
      <c r="K564" s="71" t="str">
        <f>IF(额外法术!J42="","",额外法术!J42)</f>
        <v/>
      </c>
      <c r="L564" s="71" t="str">
        <f>IF(额外法术!K42="","",额外法术!K42)</f>
        <v/>
      </c>
      <c r="M564" s="174" t="str">
        <f>IF(额外法术!L42="","",额外法术!L42)</f>
        <v/>
      </c>
      <c r="N564" s="313" t="s">
        <v>4566</v>
      </c>
      <c r="X564" s="385" t="s">
        <v>4561</v>
      </c>
    </row>
    <row r="565" spans="1:24" ht="16.95" customHeight="1">
      <c r="A565" s="214" t="str">
        <f>IF(额外法术!C43="","",额外法术!C43)</f>
        <v/>
      </c>
      <c r="B565" s="69" t="str">
        <f>IF(额外法术!C43="","",IF(额外法术!B43="戏法",0,额外法术!B43))</f>
        <v/>
      </c>
      <c r="C565" s="69" t="str">
        <f>IF(额外法术!C43="","",额外法术!E43)</f>
        <v/>
      </c>
      <c r="D565" s="69" t="str">
        <f>IF(额外法术!N43="","",额外法术!N43)</f>
        <v/>
      </c>
      <c r="E565" s="69" t="str">
        <f>IF(额外法术!M43="","",额外法术!M43)</f>
        <v/>
      </c>
      <c r="F565" s="72" t="str">
        <f>IF(额外法术!F43="","",额外法术!F43)</f>
        <v/>
      </c>
      <c r="G565" s="71" t="str">
        <f>IF(额外法术!D43="","",额外法术!D43)</f>
        <v/>
      </c>
      <c r="H565" s="69" t="str">
        <f>IF(额外法术!G43="","",额外法术!G43)</f>
        <v/>
      </c>
      <c r="I565" s="69" t="str">
        <f>IF(额外法术!H43="","",额外法术!H43)</f>
        <v/>
      </c>
      <c r="J565" s="69" t="str">
        <f>IF(额外法术!I43="","",额外法术!I43)</f>
        <v/>
      </c>
      <c r="K565" s="71" t="str">
        <f>IF(额外法术!J43="","",额外法术!J43)</f>
        <v/>
      </c>
      <c r="L565" s="71" t="str">
        <f>IF(额外法术!K43="","",额外法术!K43)</f>
        <v/>
      </c>
      <c r="M565" s="174" t="str">
        <f>IF(额外法术!L43="","",额外法术!L43)</f>
        <v/>
      </c>
      <c r="N565" s="313" t="s">
        <v>4566</v>
      </c>
      <c r="X565" s="385" t="s">
        <v>4561</v>
      </c>
    </row>
    <row r="566" spans="1:24" ht="16.95" customHeight="1">
      <c r="A566" s="214" t="str">
        <f>IF(额外法术!C44="","",额外法术!C44)</f>
        <v/>
      </c>
      <c r="B566" s="69" t="str">
        <f>IF(额外法术!C44="","",IF(额外法术!B44="戏法",0,额外法术!B44))</f>
        <v/>
      </c>
      <c r="C566" s="69" t="str">
        <f>IF(额外法术!C44="","",额外法术!E44)</f>
        <v/>
      </c>
      <c r="D566" s="69" t="str">
        <f>IF(额外法术!N44="","",额外法术!N44)</f>
        <v/>
      </c>
      <c r="E566" s="69" t="str">
        <f>IF(额外法术!M44="","",额外法术!M44)</f>
        <v/>
      </c>
      <c r="F566" s="72" t="str">
        <f>IF(额外法术!F44="","",额外法术!F44)</f>
        <v/>
      </c>
      <c r="G566" s="71" t="str">
        <f>IF(额外法术!D44="","",额外法术!D44)</f>
        <v/>
      </c>
      <c r="H566" s="69" t="str">
        <f>IF(额外法术!G44="","",额外法术!G44)</f>
        <v/>
      </c>
      <c r="I566" s="69" t="str">
        <f>IF(额外法术!H44="","",额外法术!H44)</f>
        <v/>
      </c>
      <c r="J566" s="69" t="str">
        <f>IF(额外法术!I44="","",额外法术!I44)</f>
        <v/>
      </c>
      <c r="K566" s="71" t="str">
        <f>IF(额外法术!J44="","",额外法术!J44)</f>
        <v/>
      </c>
      <c r="L566" s="71" t="str">
        <f>IF(额外法术!K44="","",额外法术!K44)</f>
        <v/>
      </c>
      <c r="M566" s="174" t="str">
        <f>IF(额外法术!L44="","",额外法术!L44)</f>
        <v/>
      </c>
      <c r="N566" s="313" t="s">
        <v>4566</v>
      </c>
      <c r="X566" s="385" t="s">
        <v>4561</v>
      </c>
    </row>
    <row r="567" spans="1:24" ht="16.95" customHeight="1">
      <c r="A567" s="214" t="str">
        <f>IF(额外法术!C45="","",额外法术!C45)</f>
        <v/>
      </c>
      <c r="B567" s="69" t="str">
        <f>IF(额外法术!C45="","",IF(额外法术!B45="戏法",0,额外法术!B45))</f>
        <v/>
      </c>
      <c r="C567" s="69" t="str">
        <f>IF(额外法术!C45="","",额外法术!E45)</f>
        <v/>
      </c>
      <c r="D567" s="69" t="str">
        <f>IF(额外法术!N45="","",额外法术!N45)</f>
        <v/>
      </c>
      <c r="E567" s="69" t="str">
        <f>IF(额外法术!M45="","",额外法术!M45)</f>
        <v/>
      </c>
      <c r="F567" s="72" t="str">
        <f>IF(额外法术!F45="","",额外法术!F45)</f>
        <v/>
      </c>
      <c r="G567" s="71" t="str">
        <f>IF(额外法术!D45="","",额外法术!D45)</f>
        <v/>
      </c>
      <c r="H567" s="69" t="str">
        <f>IF(额外法术!G45="","",额外法术!G45)</f>
        <v/>
      </c>
      <c r="I567" s="69" t="str">
        <f>IF(额外法术!H45="","",额外法术!H45)</f>
        <v/>
      </c>
      <c r="J567" s="69" t="str">
        <f>IF(额外法术!I45="","",额外法术!I45)</f>
        <v/>
      </c>
      <c r="K567" s="71" t="str">
        <f>IF(额外法术!J45="","",额外法术!J45)</f>
        <v/>
      </c>
      <c r="L567" s="71" t="str">
        <f>IF(额外法术!K45="","",额外法术!K45)</f>
        <v/>
      </c>
      <c r="M567" s="174" t="str">
        <f>IF(额外法术!L45="","",额外法术!L45)</f>
        <v/>
      </c>
      <c r="N567" s="313" t="s">
        <v>4566</v>
      </c>
      <c r="X567" s="385" t="s">
        <v>4561</v>
      </c>
    </row>
    <row r="568" spans="1:24" ht="16.95" customHeight="1">
      <c r="A568" s="214" t="str">
        <f>IF(额外法术!C46="","",额外法术!C46)</f>
        <v/>
      </c>
      <c r="B568" s="69" t="str">
        <f>IF(额外法术!C46="","",IF(额外法术!B46="戏法",0,额外法术!B46))</f>
        <v/>
      </c>
      <c r="C568" s="69" t="str">
        <f>IF(额外法术!C46="","",额外法术!E46)</f>
        <v/>
      </c>
      <c r="D568" s="69" t="str">
        <f>IF(额外法术!N46="","",额外法术!N46)</f>
        <v/>
      </c>
      <c r="E568" s="69" t="str">
        <f>IF(额外法术!M46="","",额外法术!M46)</f>
        <v/>
      </c>
      <c r="F568" s="72" t="str">
        <f>IF(额外法术!F46="","",额外法术!F46)</f>
        <v/>
      </c>
      <c r="G568" s="71" t="str">
        <f>IF(额外法术!D46="","",额外法术!D46)</f>
        <v/>
      </c>
      <c r="H568" s="69" t="str">
        <f>IF(额外法术!G46="","",额外法术!G46)</f>
        <v/>
      </c>
      <c r="I568" s="69" t="str">
        <f>IF(额外法术!H46="","",额外法术!H46)</f>
        <v/>
      </c>
      <c r="J568" s="69" t="str">
        <f>IF(额外法术!I46="","",额外法术!I46)</f>
        <v/>
      </c>
      <c r="K568" s="71" t="str">
        <f>IF(额外法术!J46="","",额外法术!J46)</f>
        <v/>
      </c>
      <c r="L568" s="71" t="str">
        <f>IF(额外法术!K46="","",额外法术!K46)</f>
        <v/>
      </c>
      <c r="M568" s="174" t="str">
        <f>IF(额外法术!L46="","",额外法术!L46)</f>
        <v/>
      </c>
      <c r="N568" s="313" t="s">
        <v>4566</v>
      </c>
      <c r="X568" s="385" t="s">
        <v>4561</v>
      </c>
    </row>
    <row r="569" spans="1:24" ht="16.95" customHeight="1">
      <c r="A569" s="214" t="str">
        <f>IF(额外法术!C47="","",额外法术!C47)</f>
        <v/>
      </c>
      <c r="B569" s="69" t="str">
        <f>IF(额外法术!C47="","",IF(额外法术!B47="戏法",0,额外法术!B47))</f>
        <v/>
      </c>
      <c r="C569" s="69" t="str">
        <f>IF(额外法术!C47="","",额外法术!E47)</f>
        <v/>
      </c>
      <c r="D569" s="69" t="str">
        <f>IF(额外法术!N47="","",额外法术!N47)</f>
        <v/>
      </c>
      <c r="E569" s="69" t="str">
        <f>IF(额外法术!M47="","",额外法术!M47)</f>
        <v/>
      </c>
      <c r="F569" s="72" t="str">
        <f>IF(额外法术!F47="","",额外法术!F47)</f>
        <v/>
      </c>
      <c r="G569" s="71" t="str">
        <f>IF(额外法术!D47="","",额外法术!D47)</f>
        <v/>
      </c>
      <c r="H569" s="69" t="str">
        <f>IF(额外法术!G47="","",额外法术!G47)</f>
        <v/>
      </c>
      <c r="I569" s="69" t="str">
        <f>IF(额外法术!H47="","",额外法术!H47)</f>
        <v/>
      </c>
      <c r="J569" s="69" t="str">
        <f>IF(额外法术!I47="","",额外法术!I47)</f>
        <v/>
      </c>
      <c r="K569" s="71" t="str">
        <f>IF(额外法术!J47="","",额外法术!J47)</f>
        <v/>
      </c>
      <c r="L569" s="71" t="str">
        <f>IF(额外法术!K47="","",额外法术!K47)</f>
        <v/>
      </c>
      <c r="M569" s="174" t="str">
        <f>IF(额外法术!L47="","",额外法术!L47)</f>
        <v/>
      </c>
      <c r="N569" s="313" t="s">
        <v>4566</v>
      </c>
      <c r="X569" s="385" t="s">
        <v>4561</v>
      </c>
    </row>
    <row r="570" spans="1:24" ht="16.95" customHeight="1">
      <c r="A570" s="214" t="str">
        <f>IF(额外法术!C48="","",额外法术!C48)</f>
        <v/>
      </c>
      <c r="B570" s="69" t="str">
        <f>IF(额外法术!C48="","",IF(额外法术!B48="戏法",0,额外法术!B48))</f>
        <v/>
      </c>
      <c r="C570" s="69" t="str">
        <f>IF(额外法术!C48="","",额外法术!E48)</f>
        <v/>
      </c>
      <c r="D570" s="69" t="str">
        <f>IF(额外法术!N48="","",额外法术!N48)</f>
        <v/>
      </c>
      <c r="E570" s="69" t="str">
        <f>IF(额外法术!M48="","",额外法术!M48)</f>
        <v/>
      </c>
      <c r="F570" s="72" t="str">
        <f>IF(额外法术!F48="","",额外法术!F48)</f>
        <v/>
      </c>
      <c r="G570" s="71" t="str">
        <f>IF(额外法术!D48="","",额外法术!D48)</f>
        <v/>
      </c>
      <c r="H570" s="69" t="str">
        <f>IF(额外法术!G48="","",额外法术!G48)</f>
        <v/>
      </c>
      <c r="I570" s="69" t="str">
        <f>IF(额外法术!H48="","",额外法术!H48)</f>
        <v/>
      </c>
      <c r="J570" s="69" t="str">
        <f>IF(额外法术!I48="","",额外法术!I48)</f>
        <v/>
      </c>
      <c r="K570" s="71" t="str">
        <f>IF(额外法术!J48="","",额外法术!J48)</f>
        <v/>
      </c>
      <c r="L570" s="71" t="str">
        <f>IF(额外法术!K48="","",额外法术!K48)</f>
        <v/>
      </c>
      <c r="M570" s="174" t="str">
        <f>IF(额外法术!L48="","",额外法术!L48)</f>
        <v/>
      </c>
      <c r="N570" s="313" t="s">
        <v>4566</v>
      </c>
      <c r="X570" s="385" t="s">
        <v>4561</v>
      </c>
    </row>
    <row r="571" spans="1:24" ht="16.95" customHeight="1">
      <c r="A571" s="214" t="str">
        <f>IF(额外法术!C49="","",额外法术!C49)</f>
        <v/>
      </c>
      <c r="B571" s="69" t="str">
        <f>IF(额外法术!C49="","",IF(额外法术!B49="戏法",0,额外法术!B49))</f>
        <v/>
      </c>
      <c r="C571" s="69" t="str">
        <f>IF(额外法术!C49="","",额外法术!E49)</f>
        <v/>
      </c>
      <c r="D571" s="69" t="str">
        <f>IF(额外法术!N49="","",额外法术!N49)</f>
        <v/>
      </c>
      <c r="E571" s="69" t="str">
        <f>IF(额外法术!M49="","",额外法术!M49)</f>
        <v/>
      </c>
      <c r="F571" s="72" t="str">
        <f>IF(额外法术!F49="","",额外法术!F49)</f>
        <v/>
      </c>
      <c r="G571" s="71" t="str">
        <f>IF(额外法术!D49="","",额外法术!D49)</f>
        <v/>
      </c>
      <c r="H571" s="69" t="str">
        <f>IF(额外法术!G49="","",额外法术!G49)</f>
        <v/>
      </c>
      <c r="I571" s="69" t="str">
        <f>IF(额外法术!H49="","",额外法术!H49)</f>
        <v/>
      </c>
      <c r="J571" s="69" t="str">
        <f>IF(额外法术!I49="","",额外法术!I49)</f>
        <v/>
      </c>
      <c r="K571" s="71" t="str">
        <f>IF(额外法术!J49="","",额外法术!J49)</f>
        <v/>
      </c>
      <c r="L571" s="71" t="str">
        <f>IF(额外法术!K49="","",额外法术!K49)</f>
        <v/>
      </c>
      <c r="M571" s="174" t="str">
        <f>IF(额外法术!L49="","",额外法术!L49)</f>
        <v/>
      </c>
      <c r="N571" s="313" t="s">
        <v>4566</v>
      </c>
      <c r="X571" s="385" t="s">
        <v>4561</v>
      </c>
    </row>
    <row r="572" spans="1:24" ht="16.95" customHeight="1">
      <c r="A572" s="214" t="str">
        <f>IF(额外法术!C50="","",额外法术!C50)</f>
        <v/>
      </c>
      <c r="B572" s="69" t="str">
        <f>IF(额外法术!C50="","",IF(额外法术!B50="戏法",0,额外法术!B50))</f>
        <v/>
      </c>
      <c r="C572" s="69" t="str">
        <f>IF(额外法术!C50="","",额外法术!E50)</f>
        <v/>
      </c>
      <c r="D572" s="69" t="str">
        <f>IF(额外法术!N50="","",额外法术!N50)</f>
        <v/>
      </c>
      <c r="E572" s="69" t="str">
        <f>IF(额外法术!M50="","",额外法术!M50)</f>
        <v/>
      </c>
      <c r="F572" s="72" t="str">
        <f>IF(额外法术!F50="","",额外法术!F50)</f>
        <v/>
      </c>
      <c r="G572" s="71" t="str">
        <f>IF(额外法术!D50="","",额外法术!D50)</f>
        <v/>
      </c>
      <c r="H572" s="69" t="str">
        <f>IF(额外法术!G50="","",额外法术!G50)</f>
        <v/>
      </c>
      <c r="I572" s="69" t="str">
        <f>IF(额外法术!H50="","",额外法术!H50)</f>
        <v/>
      </c>
      <c r="J572" s="69" t="str">
        <f>IF(额外法术!I50="","",额外法术!I50)</f>
        <v/>
      </c>
      <c r="K572" s="71" t="str">
        <f>IF(额外法术!J50="","",额外法术!J50)</f>
        <v/>
      </c>
      <c r="L572" s="71" t="str">
        <f>IF(额外法术!K50="","",额外法术!K50)</f>
        <v/>
      </c>
      <c r="M572" s="174" t="str">
        <f>IF(额外法术!L50="","",额外法术!L50)</f>
        <v/>
      </c>
      <c r="N572" s="313" t="s">
        <v>4566</v>
      </c>
      <c r="X572" s="385" t="s">
        <v>4561</v>
      </c>
    </row>
    <row r="573" spans="1:24" ht="16.95" customHeight="1">
      <c r="A573" s="214" t="str">
        <f>IF(额外法术!C51="","",额外法术!C51)</f>
        <v/>
      </c>
      <c r="B573" s="69" t="str">
        <f>IF(额外法术!C51="","",IF(额外法术!B51="戏法",0,额外法术!B51))</f>
        <v/>
      </c>
      <c r="C573" s="69" t="str">
        <f>IF(额外法术!C51="","",额外法术!E51)</f>
        <v/>
      </c>
      <c r="D573" s="69" t="str">
        <f>IF(额外法术!N51="","",额外法术!N51)</f>
        <v/>
      </c>
      <c r="E573" s="69" t="str">
        <f>IF(额外法术!M51="","",额外法术!M51)</f>
        <v/>
      </c>
      <c r="F573" s="72" t="str">
        <f>IF(额外法术!F51="","",额外法术!F51)</f>
        <v/>
      </c>
      <c r="G573" s="71" t="str">
        <f>IF(额外法术!D51="","",额外法术!D51)</f>
        <v/>
      </c>
      <c r="H573" s="69" t="str">
        <f>IF(额外法术!G51="","",额外法术!G51)</f>
        <v/>
      </c>
      <c r="I573" s="69" t="str">
        <f>IF(额外法术!H51="","",额外法术!H51)</f>
        <v/>
      </c>
      <c r="J573" s="69" t="str">
        <f>IF(额外法术!I51="","",额外法术!I51)</f>
        <v/>
      </c>
      <c r="K573" s="71" t="str">
        <f>IF(额外法术!J51="","",额外法术!J51)</f>
        <v/>
      </c>
      <c r="L573" s="71" t="str">
        <f>IF(额外法术!K51="","",额外法术!K51)</f>
        <v/>
      </c>
      <c r="M573" s="174" t="str">
        <f>IF(额外法术!L51="","",额外法术!L51)</f>
        <v/>
      </c>
      <c r="N573" s="313" t="s">
        <v>4566</v>
      </c>
      <c r="X573" s="385" t="s">
        <v>4561</v>
      </c>
    </row>
    <row r="574" spans="1:24" ht="16.95" customHeight="1">
      <c r="A574" s="214" t="str">
        <f>IF(额外法术!C52="","",额外法术!C52)</f>
        <v/>
      </c>
      <c r="B574" s="69" t="str">
        <f>IF(额外法术!C52="","",IF(额外法术!B52="戏法",0,额外法术!B52))</f>
        <v/>
      </c>
      <c r="C574" s="69" t="str">
        <f>IF(额外法术!C52="","",额外法术!E52)</f>
        <v/>
      </c>
      <c r="D574" s="69" t="str">
        <f>IF(额外法术!N52="","",额外法术!N52)</f>
        <v/>
      </c>
      <c r="E574" s="69" t="str">
        <f>IF(额外法术!M52="","",额外法术!M52)</f>
        <v/>
      </c>
      <c r="F574" s="72" t="str">
        <f>IF(额外法术!F52="","",额外法术!F52)</f>
        <v/>
      </c>
      <c r="G574" s="71" t="str">
        <f>IF(额外法术!D52="","",额外法术!D52)</f>
        <v/>
      </c>
      <c r="H574" s="69" t="str">
        <f>IF(额外法术!G52="","",额外法术!G52)</f>
        <v/>
      </c>
      <c r="I574" s="69" t="str">
        <f>IF(额外法术!H52="","",额外法术!H52)</f>
        <v/>
      </c>
      <c r="J574" s="69" t="str">
        <f>IF(额外法术!I52="","",额外法术!I52)</f>
        <v/>
      </c>
      <c r="K574" s="71" t="str">
        <f>IF(额外法术!J52="","",额外法术!J52)</f>
        <v/>
      </c>
      <c r="L574" s="71" t="str">
        <f>IF(额外法术!K52="","",额外法术!K52)</f>
        <v/>
      </c>
      <c r="M574" s="174" t="str">
        <f>IF(额外法术!L52="","",额外法术!L52)</f>
        <v/>
      </c>
      <c r="N574" s="313" t="s">
        <v>4566</v>
      </c>
      <c r="X574" s="385" t="s">
        <v>4561</v>
      </c>
    </row>
  </sheetData>
  <autoFilter ref="A2:X574" xr:uid="{18B8455F-4F6C-45D0-91EC-CC23DC20C62F}"/>
  <phoneticPr fontId="4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249977111117893"/>
  </sheetPr>
  <dimension ref="A1:T52"/>
  <sheetViews>
    <sheetView workbookViewId="0">
      <pane ySplit="2" topLeftCell="A3" activePane="bottomLeft" state="frozen"/>
      <selection activeCell="AE97" sqref="AE97:AI97"/>
      <selection pane="bottomLeft" activeCell="AE97" sqref="AE97:AI97"/>
    </sheetView>
  </sheetViews>
  <sheetFormatPr defaultColWidth="9" defaultRowHeight="15"/>
  <cols>
    <col min="1" max="1" width="3.77734375" style="4" customWidth="1"/>
    <col min="2" max="2" width="4.77734375" style="4" customWidth="1"/>
    <col min="3" max="3" width="18.77734375" style="4" customWidth="1"/>
    <col min="4" max="4" width="15.77734375" style="4" customWidth="1"/>
    <col min="5" max="5" width="6.77734375" style="4" customWidth="1"/>
    <col min="6" max="6" width="10.77734375" style="4" customWidth="1"/>
    <col min="7" max="9" width="3.77734375" style="4" customWidth="1"/>
    <col min="10" max="10" width="20.77734375" style="4" customWidth="1"/>
    <col min="11" max="11" width="16.77734375" style="4" customWidth="1"/>
    <col min="12" max="12" width="32.109375" style="4" customWidth="1"/>
    <col min="13" max="14" width="4.77734375" style="4" customWidth="1"/>
    <col min="15" max="17" width="2.33203125" style="4" customWidth="1"/>
    <col min="18" max="20" width="2.33203125" style="271" customWidth="1"/>
    <col min="21" max="16384" width="9" style="4"/>
  </cols>
  <sheetData>
    <row r="1" spans="1:20" ht="16.95" customHeight="1">
      <c r="A1" s="957" t="s">
        <v>2419</v>
      </c>
      <c r="B1" s="957"/>
      <c r="C1" s="957"/>
      <c r="D1" s="957"/>
      <c r="E1" s="957"/>
      <c r="F1" s="957"/>
      <c r="G1" s="957"/>
      <c r="H1" s="957"/>
      <c r="I1" s="957"/>
      <c r="J1" s="957"/>
      <c r="K1" s="957"/>
      <c r="L1" s="957"/>
      <c r="M1" s="957"/>
      <c r="N1" s="957"/>
      <c r="O1" s="957"/>
    </row>
    <row r="2" spans="1:20" ht="16.95" customHeight="1">
      <c r="A2" s="276"/>
      <c r="B2" s="277" t="s">
        <v>2420</v>
      </c>
      <c r="C2" s="276" t="s">
        <v>76</v>
      </c>
      <c r="D2" s="276" t="s">
        <v>127</v>
      </c>
      <c r="E2" s="276" t="s">
        <v>4565</v>
      </c>
      <c r="F2" s="276" t="s">
        <v>2421</v>
      </c>
      <c r="G2" s="45" t="s">
        <v>4562</v>
      </c>
      <c r="H2" s="45" t="s">
        <v>4563</v>
      </c>
      <c r="I2" s="45" t="s">
        <v>4564</v>
      </c>
      <c r="J2" s="45" t="s">
        <v>2422</v>
      </c>
      <c r="K2" s="276" t="s">
        <v>128</v>
      </c>
      <c r="L2" s="278" t="s">
        <v>2423</v>
      </c>
      <c r="M2" s="276" t="s">
        <v>2424</v>
      </c>
      <c r="N2" s="276" t="s">
        <v>4560</v>
      </c>
      <c r="O2" s="276"/>
      <c r="P2" s="275"/>
    </row>
    <row r="3" spans="1:20" ht="16.95" customHeight="1">
      <c r="A3" s="5"/>
      <c r="B3" s="175"/>
      <c r="C3" s="173"/>
      <c r="D3" s="279"/>
      <c r="E3" s="173"/>
      <c r="F3" s="279"/>
      <c r="G3" s="73"/>
      <c r="H3" s="73"/>
      <c r="I3" s="73"/>
      <c r="J3" s="279"/>
      <c r="K3" s="173"/>
      <c r="L3" s="282"/>
      <c r="M3" s="173"/>
      <c r="N3" s="173"/>
      <c r="P3" s="271" t="s">
        <v>135</v>
      </c>
      <c r="Q3" s="271" t="s">
        <v>2425</v>
      </c>
      <c r="R3" s="271" t="s">
        <v>2426</v>
      </c>
      <c r="S3" s="271" t="s">
        <v>2467</v>
      </c>
      <c r="T3" s="271" t="s">
        <v>2465</v>
      </c>
    </row>
    <row r="4" spans="1:20" ht="16.95" customHeight="1">
      <c r="B4" s="176"/>
      <c r="C4" s="172"/>
      <c r="D4" s="280"/>
      <c r="E4" s="172"/>
      <c r="F4" s="280"/>
      <c r="G4" s="74"/>
      <c r="H4" s="74"/>
      <c r="I4" s="74"/>
      <c r="J4" s="280"/>
      <c r="K4" s="172"/>
      <c r="L4" s="281"/>
      <c r="M4" s="172"/>
      <c r="N4" s="172"/>
      <c r="P4" s="271">
        <v>1</v>
      </c>
      <c r="Q4" s="271" t="s">
        <v>2429</v>
      </c>
      <c r="R4" s="271" t="s">
        <v>2430</v>
      </c>
      <c r="S4" s="271" t="s">
        <v>2475</v>
      </c>
      <c r="T4" s="271" t="s">
        <v>2442</v>
      </c>
    </row>
    <row r="5" spans="1:20" ht="16.95" customHeight="1">
      <c r="B5" s="175"/>
      <c r="C5" s="173"/>
      <c r="D5" s="279"/>
      <c r="E5" s="173"/>
      <c r="F5" s="279"/>
      <c r="G5" s="73"/>
      <c r="H5" s="73"/>
      <c r="I5" s="73"/>
      <c r="J5" s="279"/>
      <c r="K5" s="173"/>
      <c r="L5" s="282"/>
      <c r="M5" s="173"/>
      <c r="N5" s="173"/>
      <c r="P5" s="271">
        <v>2</v>
      </c>
      <c r="Q5" s="271" t="s">
        <v>2433</v>
      </c>
      <c r="R5" s="271" t="s">
        <v>5951</v>
      </c>
      <c r="S5" s="271" t="s">
        <v>2441</v>
      </c>
      <c r="T5" s="271" t="s">
        <v>2438</v>
      </c>
    </row>
    <row r="6" spans="1:20" ht="16.95" customHeight="1">
      <c r="B6" s="176"/>
      <c r="C6" s="172"/>
      <c r="D6" s="280"/>
      <c r="E6" s="172"/>
      <c r="F6" s="280"/>
      <c r="G6" s="74"/>
      <c r="H6" s="74"/>
      <c r="I6" s="74"/>
      <c r="J6" s="280"/>
      <c r="K6" s="172"/>
      <c r="L6" s="281"/>
      <c r="M6" s="172"/>
      <c r="N6" s="172"/>
      <c r="P6" s="271">
        <v>3</v>
      </c>
      <c r="Q6" s="271" t="s">
        <v>2437</v>
      </c>
      <c r="R6" s="271" t="s">
        <v>5952</v>
      </c>
      <c r="S6" s="271" t="s">
        <v>2452</v>
      </c>
      <c r="T6" s="271" t="s">
        <v>2428</v>
      </c>
    </row>
    <row r="7" spans="1:20" ht="16.95" customHeight="1">
      <c r="B7" s="175"/>
      <c r="C7" s="173"/>
      <c r="D7" s="279"/>
      <c r="E7" s="173"/>
      <c r="F7" s="279"/>
      <c r="G7" s="73"/>
      <c r="H7" s="73"/>
      <c r="I7" s="73"/>
      <c r="J7" s="279"/>
      <c r="K7" s="173"/>
      <c r="L7" s="282"/>
      <c r="M7" s="173"/>
      <c r="N7" s="173"/>
      <c r="P7" s="271">
        <v>4</v>
      </c>
      <c r="Q7" s="271" t="s">
        <v>2440</v>
      </c>
      <c r="R7" s="271" t="s">
        <v>5953</v>
      </c>
      <c r="S7" s="271" t="s">
        <v>2461</v>
      </c>
      <c r="T7" s="271" t="s">
        <v>2434</v>
      </c>
    </row>
    <row r="8" spans="1:20" ht="16.95" customHeight="1">
      <c r="B8" s="176"/>
      <c r="C8" s="172"/>
      <c r="D8" s="280"/>
      <c r="E8" s="172"/>
      <c r="F8" s="280"/>
      <c r="G8" s="74"/>
      <c r="H8" s="74"/>
      <c r="I8" s="74"/>
      <c r="J8" s="280"/>
      <c r="K8" s="172"/>
      <c r="L8" s="281"/>
      <c r="M8" s="172"/>
      <c r="N8" s="172"/>
      <c r="P8" s="271">
        <v>5</v>
      </c>
      <c r="Q8" s="271" t="s">
        <v>2443</v>
      </c>
      <c r="R8" s="271" t="s">
        <v>2444</v>
      </c>
      <c r="S8" s="271" t="s">
        <v>2463</v>
      </c>
      <c r="T8" s="271" t="s">
        <v>2444</v>
      </c>
    </row>
    <row r="9" spans="1:20" ht="16.95" customHeight="1">
      <c r="B9" s="175"/>
      <c r="C9" s="173"/>
      <c r="D9" s="279"/>
      <c r="E9" s="173"/>
      <c r="F9" s="279"/>
      <c r="G9" s="73"/>
      <c r="H9" s="73"/>
      <c r="I9" s="73"/>
      <c r="J9" s="279"/>
      <c r="K9" s="173"/>
      <c r="L9" s="282"/>
      <c r="M9" s="173"/>
      <c r="N9" s="173"/>
      <c r="P9" s="271">
        <v>6</v>
      </c>
      <c r="Q9" s="271" t="s">
        <v>2447</v>
      </c>
      <c r="R9" s="271" t="s">
        <v>5954</v>
      </c>
      <c r="S9" s="271" t="s">
        <v>2435</v>
      </c>
      <c r="T9" s="271" t="s">
        <v>2448</v>
      </c>
    </row>
    <row r="10" spans="1:20" ht="16.95" customHeight="1">
      <c r="B10" s="176"/>
      <c r="C10" s="172"/>
      <c r="D10" s="280"/>
      <c r="E10" s="172"/>
      <c r="F10" s="280"/>
      <c r="G10" s="74"/>
      <c r="H10" s="74"/>
      <c r="I10" s="74"/>
      <c r="J10" s="280"/>
      <c r="K10" s="172"/>
      <c r="L10" s="281"/>
      <c r="M10" s="172"/>
      <c r="N10" s="172"/>
      <c r="P10" s="271">
        <v>7</v>
      </c>
      <c r="Q10" s="271" t="s">
        <v>2450</v>
      </c>
      <c r="R10" s="271" t="s">
        <v>5955</v>
      </c>
      <c r="S10" s="271" t="s">
        <v>2439</v>
      </c>
      <c r="T10" s="271" t="s">
        <v>2487</v>
      </c>
    </row>
    <row r="11" spans="1:20" ht="16.95" customHeight="1">
      <c r="B11" s="175"/>
      <c r="C11" s="173"/>
      <c r="D11" s="279"/>
      <c r="E11" s="173"/>
      <c r="F11" s="279"/>
      <c r="G11" s="73"/>
      <c r="H11" s="73"/>
      <c r="I11" s="73"/>
      <c r="J11" s="279"/>
      <c r="K11" s="173"/>
      <c r="L11" s="282"/>
      <c r="M11" s="173"/>
      <c r="N11" s="173"/>
      <c r="P11" s="271">
        <v>8</v>
      </c>
      <c r="Q11" s="271" t="s">
        <v>2453</v>
      </c>
      <c r="S11" s="271" t="s">
        <v>2449</v>
      </c>
      <c r="T11" s="271" t="s">
        <v>2484</v>
      </c>
    </row>
    <row r="12" spans="1:20" ht="16.95" customHeight="1">
      <c r="B12" s="176"/>
      <c r="C12" s="172"/>
      <c r="D12" s="280"/>
      <c r="E12" s="172"/>
      <c r="F12" s="280"/>
      <c r="G12" s="74"/>
      <c r="H12" s="74"/>
      <c r="I12" s="74"/>
      <c r="J12" s="280"/>
      <c r="K12" s="172"/>
      <c r="L12" s="281"/>
      <c r="M12" s="172"/>
      <c r="N12" s="172"/>
      <c r="P12" s="271">
        <v>9</v>
      </c>
      <c r="Q12" s="271" t="s">
        <v>2455</v>
      </c>
      <c r="S12" s="271" t="s">
        <v>2491</v>
      </c>
      <c r="T12" s="271" t="s">
        <v>2482</v>
      </c>
    </row>
    <row r="13" spans="1:20" ht="16.95" customHeight="1">
      <c r="B13" s="175"/>
      <c r="C13" s="173"/>
      <c r="D13" s="279"/>
      <c r="E13" s="173"/>
      <c r="F13" s="279"/>
      <c r="G13" s="73"/>
      <c r="H13" s="73"/>
      <c r="I13" s="73"/>
      <c r="J13" s="279"/>
      <c r="K13" s="173"/>
      <c r="L13" s="282"/>
      <c r="M13" s="173"/>
      <c r="N13" s="173"/>
      <c r="P13" s="271"/>
      <c r="Q13" s="271" t="s">
        <v>2457</v>
      </c>
      <c r="S13" s="271" t="s">
        <v>2488</v>
      </c>
      <c r="T13" s="271" t="s">
        <v>2490</v>
      </c>
    </row>
    <row r="14" spans="1:20" ht="16.95" customHeight="1">
      <c r="B14" s="176"/>
      <c r="C14" s="172"/>
      <c r="D14" s="280"/>
      <c r="E14" s="172"/>
      <c r="F14" s="280"/>
      <c r="G14" s="74"/>
      <c r="H14" s="74"/>
      <c r="I14" s="74"/>
      <c r="J14" s="280"/>
      <c r="K14" s="172"/>
      <c r="L14" s="281"/>
      <c r="M14" s="172"/>
      <c r="N14" s="172"/>
      <c r="P14" s="271"/>
      <c r="Q14" s="271" t="s">
        <v>2460</v>
      </c>
      <c r="S14" s="271" t="s">
        <v>2485</v>
      </c>
      <c r="T14" s="271" t="s">
        <v>2432</v>
      </c>
    </row>
    <row r="15" spans="1:20" ht="16.95" customHeight="1">
      <c r="B15" s="175"/>
      <c r="C15" s="173"/>
      <c r="D15" s="279"/>
      <c r="E15" s="173"/>
      <c r="F15" s="279"/>
      <c r="G15" s="73"/>
      <c r="H15" s="73"/>
      <c r="I15" s="73"/>
      <c r="J15" s="279"/>
      <c r="K15" s="173"/>
      <c r="L15" s="282"/>
      <c r="M15" s="173"/>
      <c r="N15" s="173"/>
      <c r="P15" s="271"/>
      <c r="Q15" s="271" t="s">
        <v>2462</v>
      </c>
      <c r="S15" s="271" t="s">
        <v>2489</v>
      </c>
      <c r="T15" s="271" t="s">
        <v>2459</v>
      </c>
    </row>
    <row r="16" spans="1:20" ht="16.95" customHeight="1">
      <c r="B16" s="176"/>
      <c r="C16" s="172"/>
      <c r="D16" s="280"/>
      <c r="E16" s="172"/>
      <c r="F16" s="280"/>
      <c r="G16" s="74"/>
      <c r="H16" s="74"/>
      <c r="I16" s="74"/>
      <c r="J16" s="280"/>
      <c r="K16" s="172"/>
      <c r="L16" s="281"/>
      <c r="M16" s="172"/>
      <c r="N16" s="172"/>
      <c r="P16" s="271"/>
      <c r="Q16" s="271" t="s">
        <v>2464</v>
      </c>
      <c r="S16" s="271" t="s">
        <v>3038</v>
      </c>
      <c r="T16" s="271" t="s">
        <v>2456</v>
      </c>
    </row>
    <row r="17" spans="2:20" ht="16.95" customHeight="1">
      <c r="B17" s="175"/>
      <c r="C17" s="173"/>
      <c r="D17" s="279"/>
      <c r="E17" s="173"/>
      <c r="F17" s="279"/>
      <c r="G17" s="73"/>
      <c r="H17" s="73"/>
      <c r="I17" s="73"/>
      <c r="J17" s="279"/>
      <c r="K17" s="173"/>
      <c r="L17" s="282"/>
      <c r="M17" s="173"/>
      <c r="N17" s="173"/>
      <c r="P17" s="271"/>
      <c r="Q17" s="271" t="s">
        <v>2466</v>
      </c>
      <c r="S17" s="271" t="s">
        <v>2445</v>
      </c>
      <c r="T17" s="271" t="s">
        <v>2471</v>
      </c>
    </row>
    <row r="18" spans="2:20" ht="16.95" customHeight="1">
      <c r="B18" s="176"/>
      <c r="C18" s="172"/>
      <c r="D18" s="280"/>
      <c r="E18" s="172"/>
      <c r="F18" s="280"/>
      <c r="G18" s="74"/>
      <c r="H18" s="74"/>
      <c r="I18" s="74"/>
      <c r="J18" s="280"/>
      <c r="K18" s="172"/>
      <c r="L18" s="281"/>
      <c r="M18" s="172"/>
      <c r="N18" s="172"/>
      <c r="P18" s="271"/>
      <c r="Q18" s="271" t="s">
        <v>2468</v>
      </c>
      <c r="S18" s="271" t="s">
        <v>2470</v>
      </c>
      <c r="T18" s="271" t="s">
        <v>2472</v>
      </c>
    </row>
    <row r="19" spans="2:20" ht="16.95" customHeight="1">
      <c r="B19" s="175"/>
      <c r="C19" s="173"/>
      <c r="D19" s="279"/>
      <c r="E19" s="173"/>
      <c r="F19" s="279"/>
      <c r="G19" s="73"/>
      <c r="H19" s="73"/>
      <c r="I19" s="73"/>
      <c r="J19" s="279"/>
      <c r="K19" s="173"/>
      <c r="L19" s="282"/>
      <c r="M19" s="173"/>
      <c r="N19" s="173"/>
      <c r="P19" s="271"/>
      <c r="Q19" s="271"/>
      <c r="S19" s="271" t="s">
        <v>2471</v>
      </c>
      <c r="T19" s="271" t="s">
        <v>2474</v>
      </c>
    </row>
    <row r="20" spans="2:20" ht="16.95" customHeight="1">
      <c r="B20" s="176"/>
      <c r="C20" s="172"/>
      <c r="D20" s="280"/>
      <c r="E20" s="172"/>
      <c r="F20" s="280"/>
      <c r="G20" s="74"/>
      <c r="H20" s="74"/>
      <c r="I20" s="74"/>
      <c r="J20" s="280"/>
      <c r="K20" s="172"/>
      <c r="L20" s="281"/>
      <c r="M20" s="172"/>
      <c r="N20" s="172"/>
      <c r="P20" s="271"/>
      <c r="Q20" s="271"/>
      <c r="T20" s="271" t="s">
        <v>2476</v>
      </c>
    </row>
    <row r="21" spans="2:20" ht="16.95" customHeight="1">
      <c r="B21" s="175"/>
      <c r="C21" s="173"/>
      <c r="D21" s="279"/>
      <c r="E21" s="173"/>
      <c r="F21" s="279"/>
      <c r="G21" s="73"/>
      <c r="H21" s="73"/>
      <c r="I21" s="73"/>
      <c r="J21" s="279"/>
      <c r="K21" s="173"/>
      <c r="L21" s="282"/>
      <c r="M21" s="173"/>
      <c r="N21" s="173"/>
      <c r="P21" s="271"/>
      <c r="Q21" s="271"/>
    </row>
    <row r="22" spans="2:20" ht="16.95" customHeight="1">
      <c r="B22" s="176"/>
      <c r="C22" s="172"/>
      <c r="D22" s="280"/>
      <c r="E22" s="172"/>
      <c r="F22" s="280"/>
      <c r="G22" s="74"/>
      <c r="H22" s="74"/>
      <c r="I22" s="74"/>
      <c r="J22" s="280"/>
      <c r="K22" s="172"/>
      <c r="L22" s="281"/>
      <c r="M22" s="172"/>
      <c r="N22" s="172"/>
      <c r="P22" s="271"/>
      <c r="Q22" s="271"/>
    </row>
    <row r="23" spans="2:20" ht="16.95" customHeight="1">
      <c r="B23" s="175"/>
      <c r="C23" s="173"/>
      <c r="D23" s="279"/>
      <c r="E23" s="173"/>
      <c r="F23" s="279"/>
      <c r="G23" s="73"/>
      <c r="H23" s="73"/>
      <c r="I23" s="73"/>
      <c r="J23" s="279"/>
      <c r="K23" s="173"/>
      <c r="L23" s="282"/>
      <c r="M23" s="173"/>
      <c r="N23" s="173"/>
      <c r="P23" s="271"/>
      <c r="Q23" s="271"/>
    </row>
    <row r="24" spans="2:20" ht="16.95" customHeight="1">
      <c r="B24" s="176"/>
      <c r="C24" s="172"/>
      <c r="D24" s="280"/>
      <c r="E24" s="172"/>
      <c r="F24" s="280"/>
      <c r="G24" s="74"/>
      <c r="H24" s="74"/>
      <c r="I24" s="74"/>
      <c r="J24" s="280"/>
      <c r="K24" s="172"/>
      <c r="L24" s="281"/>
      <c r="M24" s="172"/>
      <c r="N24" s="172"/>
      <c r="P24" s="271"/>
      <c r="Q24" s="271"/>
    </row>
    <row r="25" spans="2:20" ht="16.95" customHeight="1">
      <c r="B25" s="175"/>
      <c r="C25" s="173"/>
      <c r="D25" s="279"/>
      <c r="E25" s="173"/>
      <c r="F25" s="279"/>
      <c r="G25" s="73"/>
      <c r="H25" s="73"/>
      <c r="I25" s="73"/>
      <c r="J25" s="279"/>
      <c r="K25" s="173"/>
      <c r="L25" s="282"/>
      <c r="M25" s="173"/>
      <c r="N25" s="173"/>
      <c r="P25" s="271"/>
      <c r="Q25" s="271"/>
    </row>
    <row r="26" spans="2:20" ht="16.95" customHeight="1">
      <c r="B26" s="176"/>
      <c r="C26" s="172"/>
      <c r="D26" s="280"/>
      <c r="E26" s="172"/>
      <c r="F26" s="280"/>
      <c r="G26" s="74"/>
      <c r="H26" s="74"/>
      <c r="I26" s="74"/>
      <c r="J26" s="280"/>
      <c r="K26" s="172"/>
      <c r="L26" s="281"/>
      <c r="M26" s="172"/>
      <c r="N26" s="172"/>
      <c r="P26" s="271"/>
      <c r="Q26" s="271"/>
    </row>
    <row r="27" spans="2:20" ht="16.95" customHeight="1">
      <c r="B27" s="175"/>
      <c r="C27" s="173"/>
      <c r="D27" s="279"/>
      <c r="E27" s="173"/>
      <c r="F27" s="279"/>
      <c r="G27" s="73"/>
      <c r="H27" s="73"/>
      <c r="I27" s="73"/>
      <c r="J27" s="279"/>
      <c r="K27" s="173"/>
      <c r="L27" s="282"/>
      <c r="M27" s="173"/>
      <c r="N27" s="173"/>
      <c r="P27" s="271"/>
      <c r="Q27" s="271"/>
    </row>
    <row r="28" spans="2:20" ht="16.95" customHeight="1">
      <c r="B28" s="176"/>
      <c r="C28" s="172"/>
      <c r="D28" s="280"/>
      <c r="E28" s="172"/>
      <c r="F28" s="280"/>
      <c r="G28" s="74"/>
      <c r="H28" s="74"/>
      <c r="I28" s="74"/>
      <c r="J28" s="280"/>
      <c r="K28" s="172"/>
      <c r="L28" s="281"/>
      <c r="M28" s="172"/>
      <c r="N28" s="172"/>
      <c r="P28" s="271"/>
      <c r="Q28" s="271"/>
    </row>
    <row r="29" spans="2:20" ht="16.95" customHeight="1">
      <c r="B29" s="175"/>
      <c r="C29" s="173"/>
      <c r="D29" s="279"/>
      <c r="E29" s="173"/>
      <c r="F29" s="279"/>
      <c r="G29" s="73"/>
      <c r="H29" s="73"/>
      <c r="I29" s="73"/>
      <c r="J29" s="279"/>
      <c r="K29" s="173"/>
      <c r="L29" s="282"/>
      <c r="M29" s="173"/>
      <c r="N29" s="173"/>
      <c r="P29" s="271"/>
      <c r="Q29" s="271"/>
    </row>
    <row r="30" spans="2:20" ht="16.95" customHeight="1">
      <c r="B30" s="176"/>
      <c r="C30" s="172"/>
      <c r="D30" s="280"/>
      <c r="E30" s="172"/>
      <c r="F30" s="280"/>
      <c r="G30" s="74"/>
      <c r="H30" s="74"/>
      <c r="I30" s="74"/>
      <c r="J30" s="280"/>
      <c r="K30" s="172"/>
      <c r="L30" s="281"/>
      <c r="M30" s="172"/>
      <c r="N30" s="172"/>
      <c r="P30" s="271"/>
      <c r="Q30" s="271"/>
    </row>
    <row r="31" spans="2:20" ht="16.95" customHeight="1">
      <c r="B31" s="175"/>
      <c r="C31" s="173"/>
      <c r="D31" s="279"/>
      <c r="E31" s="173"/>
      <c r="F31" s="279"/>
      <c r="G31" s="73"/>
      <c r="H31" s="73"/>
      <c r="I31" s="73"/>
      <c r="J31" s="279"/>
      <c r="K31" s="173"/>
      <c r="L31" s="282"/>
      <c r="M31" s="173"/>
      <c r="N31" s="173"/>
      <c r="P31" s="271"/>
      <c r="Q31" s="271"/>
    </row>
    <row r="32" spans="2:20" ht="16.95" customHeight="1">
      <c r="B32" s="176"/>
      <c r="C32" s="172"/>
      <c r="D32" s="280"/>
      <c r="E32" s="172"/>
      <c r="F32" s="280"/>
      <c r="G32" s="74"/>
      <c r="H32" s="74"/>
      <c r="I32" s="74"/>
      <c r="J32" s="280"/>
      <c r="K32" s="172"/>
      <c r="L32" s="281"/>
      <c r="M32" s="172"/>
      <c r="N32" s="172"/>
      <c r="P32" s="271"/>
      <c r="Q32" s="271"/>
    </row>
    <row r="33" spans="2:17" ht="16.95" customHeight="1">
      <c r="B33" s="175"/>
      <c r="C33" s="173"/>
      <c r="D33" s="279"/>
      <c r="E33" s="173"/>
      <c r="F33" s="279"/>
      <c r="G33" s="73"/>
      <c r="H33" s="73"/>
      <c r="I33" s="73"/>
      <c r="J33" s="279"/>
      <c r="K33" s="173"/>
      <c r="L33" s="282"/>
      <c r="M33" s="173"/>
      <c r="N33" s="173"/>
      <c r="P33" s="271"/>
      <c r="Q33" s="271"/>
    </row>
    <row r="34" spans="2:17" ht="16.95" customHeight="1">
      <c r="B34" s="176"/>
      <c r="C34" s="172"/>
      <c r="D34" s="280"/>
      <c r="E34" s="172"/>
      <c r="F34" s="280"/>
      <c r="G34" s="74"/>
      <c r="H34" s="74"/>
      <c r="I34" s="74"/>
      <c r="J34" s="280"/>
      <c r="K34" s="172"/>
      <c r="L34" s="281"/>
      <c r="M34" s="172"/>
      <c r="N34" s="172"/>
      <c r="P34" s="271"/>
      <c r="Q34" s="271"/>
    </row>
    <row r="35" spans="2:17" ht="16.95" customHeight="1">
      <c r="B35" s="175"/>
      <c r="C35" s="173"/>
      <c r="D35" s="279"/>
      <c r="E35" s="173"/>
      <c r="F35" s="279"/>
      <c r="G35" s="73"/>
      <c r="H35" s="73"/>
      <c r="I35" s="73"/>
      <c r="J35" s="279"/>
      <c r="K35" s="173"/>
      <c r="L35" s="282"/>
      <c r="M35" s="173"/>
      <c r="N35" s="173"/>
      <c r="P35" s="271"/>
      <c r="Q35" s="271"/>
    </row>
    <row r="36" spans="2:17" ht="16.95" customHeight="1">
      <c r="B36" s="176"/>
      <c r="C36" s="172"/>
      <c r="D36" s="280"/>
      <c r="E36" s="172"/>
      <c r="F36" s="280"/>
      <c r="G36" s="74"/>
      <c r="H36" s="74"/>
      <c r="I36" s="74"/>
      <c r="J36" s="280"/>
      <c r="K36" s="172"/>
      <c r="L36" s="281"/>
      <c r="M36" s="172"/>
      <c r="N36" s="172"/>
      <c r="P36" s="271"/>
      <c r="Q36" s="271"/>
    </row>
    <row r="37" spans="2:17" ht="16.95" customHeight="1">
      <c r="B37" s="175"/>
      <c r="C37" s="173"/>
      <c r="D37" s="279"/>
      <c r="E37" s="173"/>
      <c r="F37" s="279"/>
      <c r="G37" s="73"/>
      <c r="H37" s="73"/>
      <c r="I37" s="73"/>
      <c r="J37" s="279"/>
      <c r="K37" s="173"/>
      <c r="L37" s="282"/>
      <c r="M37" s="173"/>
      <c r="N37" s="173"/>
      <c r="P37" s="271"/>
      <c r="Q37" s="271"/>
    </row>
    <row r="38" spans="2:17" ht="16.95" customHeight="1">
      <c r="B38" s="176"/>
      <c r="C38" s="172"/>
      <c r="D38" s="280"/>
      <c r="E38" s="172"/>
      <c r="F38" s="280"/>
      <c r="G38" s="74"/>
      <c r="H38" s="74"/>
      <c r="I38" s="74"/>
      <c r="J38" s="280"/>
      <c r="K38" s="172"/>
      <c r="L38" s="281"/>
      <c r="M38" s="172"/>
      <c r="N38" s="172"/>
      <c r="P38" s="271"/>
      <c r="Q38" s="271"/>
    </row>
    <row r="39" spans="2:17" ht="16.95" customHeight="1">
      <c r="B39" s="175"/>
      <c r="C39" s="173"/>
      <c r="D39" s="279"/>
      <c r="E39" s="173"/>
      <c r="F39" s="279"/>
      <c r="G39" s="73"/>
      <c r="H39" s="73"/>
      <c r="I39" s="73"/>
      <c r="J39" s="279"/>
      <c r="K39" s="173"/>
      <c r="L39" s="282"/>
      <c r="M39" s="173"/>
      <c r="N39" s="173"/>
      <c r="P39" s="271"/>
      <c r="Q39" s="271"/>
    </row>
    <row r="40" spans="2:17" ht="16.95" customHeight="1">
      <c r="B40" s="176"/>
      <c r="C40" s="172"/>
      <c r="D40" s="280"/>
      <c r="E40" s="172"/>
      <c r="F40" s="280"/>
      <c r="G40" s="74"/>
      <c r="H40" s="74"/>
      <c r="I40" s="74"/>
      <c r="J40" s="281"/>
      <c r="K40" s="172"/>
      <c r="L40" s="281"/>
      <c r="M40" s="172"/>
      <c r="N40" s="172"/>
    </row>
    <row r="41" spans="2:17" ht="16.95" customHeight="1">
      <c r="B41" s="175"/>
      <c r="C41" s="173"/>
      <c r="D41" s="279"/>
      <c r="E41" s="173"/>
      <c r="F41" s="279"/>
      <c r="G41" s="73"/>
      <c r="H41" s="73"/>
      <c r="I41" s="73"/>
      <c r="J41" s="282"/>
      <c r="K41" s="173"/>
      <c r="L41" s="282"/>
      <c r="M41" s="173"/>
      <c r="N41" s="173"/>
    </row>
    <row r="42" spans="2:17" ht="16.95" customHeight="1">
      <c r="B42" s="176"/>
      <c r="C42" s="172"/>
      <c r="D42" s="280"/>
      <c r="E42" s="172"/>
      <c r="F42" s="280"/>
      <c r="G42" s="74"/>
      <c r="H42" s="74"/>
      <c r="I42" s="74"/>
      <c r="J42" s="281"/>
      <c r="K42" s="172"/>
      <c r="L42" s="281"/>
      <c r="M42" s="172"/>
      <c r="N42" s="172"/>
    </row>
    <row r="43" spans="2:17" ht="16.95" customHeight="1">
      <c r="B43" s="175"/>
      <c r="C43" s="173"/>
      <c r="D43" s="279"/>
      <c r="E43" s="173"/>
      <c r="F43" s="279"/>
      <c r="G43" s="73"/>
      <c r="H43" s="73"/>
      <c r="I43" s="73"/>
      <c r="J43" s="282"/>
      <c r="K43" s="173"/>
      <c r="L43" s="282"/>
      <c r="M43" s="173"/>
      <c r="N43" s="173"/>
    </row>
    <row r="44" spans="2:17" ht="16.95" customHeight="1">
      <c r="B44" s="176"/>
      <c r="C44" s="172"/>
      <c r="D44" s="280"/>
      <c r="E44" s="172"/>
      <c r="F44" s="280"/>
      <c r="G44" s="74"/>
      <c r="H44" s="74"/>
      <c r="I44" s="74"/>
      <c r="J44" s="281"/>
      <c r="K44" s="172"/>
      <c r="L44" s="281"/>
      <c r="M44" s="172"/>
      <c r="N44" s="172"/>
    </row>
    <row r="45" spans="2:17" ht="16.95" customHeight="1">
      <c r="B45" s="175"/>
      <c r="C45" s="173"/>
      <c r="D45" s="279"/>
      <c r="E45" s="173"/>
      <c r="F45" s="279"/>
      <c r="G45" s="73"/>
      <c r="H45" s="73"/>
      <c r="I45" s="73"/>
      <c r="J45" s="282"/>
      <c r="K45" s="173"/>
      <c r="L45" s="282"/>
      <c r="M45" s="173"/>
      <c r="N45" s="173"/>
    </row>
    <row r="46" spans="2:17" ht="16.95" customHeight="1">
      <c r="B46" s="176"/>
      <c r="C46" s="172"/>
      <c r="D46" s="280"/>
      <c r="E46" s="172"/>
      <c r="F46" s="280"/>
      <c r="G46" s="74"/>
      <c r="H46" s="74"/>
      <c r="I46" s="74"/>
      <c r="J46" s="281"/>
      <c r="K46" s="172"/>
      <c r="L46" s="281"/>
      <c r="M46" s="172"/>
      <c r="N46" s="172"/>
    </row>
    <row r="47" spans="2:17">
      <c r="B47" s="175"/>
      <c r="C47" s="173"/>
      <c r="D47" s="279"/>
      <c r="E47" s="173"/>
      <c r="F47" s="279"/>
      <c r="G47" s="73"/>
      <c r="H47" s="73"/>
      <c r="I47" s="73"/>
      <c r="J47" s="282"/>
      <c r="K47" s="173"/>
      <c r="L47" s="282"/>
      <c r="M47" s="173"/>
      <c r="N47" s="173"/>
    </row>
    <row r="48" spans="2:17">
      <c r="B48" s="176"/>
      <c r="C48" s="172"/>
      <c r="D48" s="280"/>
      <c r="E48" s="172"/>
      <c r="F48" s="280"/>
      <c r="G48" s="74"/>
      <c r="H48" s="74"/>
      <c r="I48" s="74"/>
      <c r="J48" s="281"/>
      <c r="K48" s="172"/>
      <c r="L48" s="281"/>
      <c r="M48" s="172"/>
      <c r="N48" s="172"/>
    </row>
    <row r="49" spans="2:14">
      <c r="B49" s="175"/>
      <c r="C49" s="173"/>
      <c r="D49" s="279"/>
      <c r="E49" s="173"/>
      <c r="F49" s="279"/>
      <c r="G49" s="73"/>
      <c r="H49" s="73"/>
      <c r="I49" s="73"/>
      <c r="J49" s="282"/>
      <c r="K49" s="173"/>
      <c r="L49" s="282"/>
      <c r="M49" s="173"/>
      <c r="N49" s="173"/>
    </row>
    <row r="50" spans="2:14">
      <c r="B50" s="176"/>
      <c r="C50" s="172"/>
      <c r="D50" s="280"/>
      <c r="E50" s="172"/>
      <c r="F50" s="280"/>
      <c r="G50" s="74"/>
      <c r="H50" s="74"/>
      <c r="I50" s="74"/>
      <c r="J50" s="281"/>
      <c r="K50" s="172"/>
      <c r="L50" s="281"/>
      <c r="M50" s="172"/>
      <c r="N50" s="172"/>
    </row>
    <row r="51" spans="2:14">
      <c r="B51" s="175"/>
      <c r="C51" s="173"/>
      <c r="D51" s="279"/>
      <c r="E51" s="173"/>
      <c r="F51" s="279"/>
      <c r="G51" s="73"/>
      <c r="H51" s="73"/>
      <c r="I51" s="73"/>
      <c r="J51" s="282"/>
      <c r="K51" s="173"/>
      <c r="L51" s="282"/>
      <c r="M51" s="173"/>
      <c r="N51" s="173"/>
    </row>
    <row r="52" spans="2:14">
      <c r="B52" s="176"/>
      <c r="C52" s="172"/>
      <c r="D52" s="280"/>
      <c r="E52" s="172"/>
      <c r="F52" s="280"/>
      <c r="G52" s="74"/>
      <c r="H52" s="74"/>
      <c r="I52" s="74"/>
      <c r="J52" s="281"/>
      <c r="K52" s="172"/>
      <c r="L52" s="281"/>
      <c r="M52" s="172"/>
      <c r="N52" s="172"/>
    </row>
  </sheetData>
  <sheetProtection selectLockedCells="1"/>
  <mergeCells count="1">
    <mergeCell ref="A1:O1"/>
  </mergeCells>
  <phoneticPr fontId="49" type="noConversion"/>
  <dataValidations count="9">
    <dataValidation type="list" allowBlank="1" showInputMessage="1" sqref="D3:D52" xr:uid="{00000000-0002-0000-0B00-000002000000}">
      <formula1>$S$3:$S$19</formula1>
    </dataValidation>
    <dataValidation type="list" allowBlank="1" showInputMessage="1" sqref="B3:B52" xr:uid="{00000000-0002-0000-0B00-000003000000}">
      <formula1>$P$3:$P$12</formula1>
    </dataValidation>
    <dataValidation type="list" allowBlank="1" showInputMessage="1" sqref="F3:F52" xr:uid="{00000000-0002-0000-0B00-000004000000}">
      <formula1>$R$3:$R$10</formula1>
    </dataValidation>
    <dataValidation type="list" allowBlank="1" showInputMessage="1" sqref="K3:K52" xr:uid="{00000000-0002-0000-0B00-000005000000}">
      <formula1>$T$3:$T$20</formula1>
    </dataValidation>
    <dataValidation type="list" allowBlank="1" showInputMessage="1" sqref="E3:E52" xr:uid="{00000000-0002-0000-0B00-000006000000}">
      <formula1>$Q$3:$Q$18</formula1>
    </dataValidation>
    <dataValidation type="list" allowBlank="1" showInputMessage="1" showErrorMessage="1" sqref="I3:I52" xr:uid="{00000000-0002-0000-0B00-000000000000}">
      <formula1>"M"</formula1>
    </dataValidation>
    <dataValidation type="list" allowBlank="1" showInputMessage="1" showErrorMessage="1" sqref="G3:G52" xr:uid="{4D1C20F8-8E4A-47A2-8DD9-24E15D05C3B3}">
      <formula1>"V"</formula1>
    </dataValidation>
    <dataValidation type="list" allowBlank="1" showInputMessage="1" showErrorMessage="1" sqref="H3:H52" xr:uid="{7AADFB74-5F23-47C4-BE22-205C9DF1141B}">
      <formula1>"S"</formula1>
    </dataValidation>
    <dataValidation type="list" allowBlank="1" showInputMessage="1" sqref="M3:N52" xr:uid="{00000000-0002-0000-0B00-000001000000}">
      <formula1>"√"</formula1>
    </dataValidation>
  </dataValidations>
  <pageMargins left="0.75" right="0.75" top="1" bottom="1" header="0.51180555555555596" footer="0.5118055555555559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766BB-E894-46DA-B4EC-1C12E1F6E5A2}">
  <sheetPr codeName="Sheet15">
    <tabColor rgb="FFFFFFCC"/>
  </sheetPr>
  <dimension ref="A1:BI71"/>
  <sheetViews>
    <sheetView zoomScale="85" zoomScaleNormal="85" workbookViewId="0">
      <selection activeCell="Z16" sqref="Z16"/>
    </sheetView>
  </sheetViews>
  <sheetFormatPr defaultColWidth="3.88671875" defaultRowHeight="21" customHeight="1"/>
  <cols>
    <col min="1" max="16384" width="3.88671875" style="363"/>
  </cols>
  <sheetData>
    <row r="1" spans="1:61" ht="21" customHeight="1">
      <c r="A1" s="958" t="s">
        <v>6030</v>
      </c>
      <c r="B1" s="958"/>
      <c r="C1" s="958"/>
      <c r="D1" s="958"/>
      <c r="E1" s="958"/>
      <c r="F1" s="958"/>
      <c r="G1" s="958"/>
      <c r="H1" s="958"/>
      <c r="I1" s="958"/>
      <c r="J1" s="958"/>
      <c r="L1" s="958" t="s">
        <v>6031</v>
      </c>
      <c r="M1" s="958"/>
      <c r="N1" s="958"/>
      <c r="O1" s="958"/>
      <c r="P1" s="958"/>
      <c r="Q1" s="958"/>
      <c r="R1" s="958"/>
      <c r="S1" s="958"/>
      <c r="AA1" s="958" t="s">
        <v>6032</v>
      </c>
      <c r="AB1" s="958"/>
      <c r="AC1" s="958"/>
      <c r="AD1" s="958"/>
      <c r="AE1" s="958"/>
      <c r="AF1" s="958"/>
      <c r="AG1" s="958"/>
      <c r="AI1" s="958" t="s">
        <v>6033</v>
      </c>
      <c r="AJ1" s="958"/>
      <c r="AK1" s="958"/>
      <c r="AL1" s="958"/>
      <c r="AM1" s="958"/>
      <c r="AT1" s="363" t="s">
        <v>6034</v>
      </c>
      <c r="AW1" s="364" t="s">
        <v>3218</v>
      </c>
      <c r="AX1" s="364"/>
      <c r="AY1" s="364"/>
      <c r="AZ1" s="364" t="s">
        <v>6035</v>
      </c>
      <c r="BA1" s="364"/>
      <c r="BC1" s="363" t="s">
        <v>3139</v>
      </c>
      <c r="BF1" s="363" t="s">
        <v>6036</v>
      </c>
      <c r="BI1" s="363" t="s">
        <v>6037</v>
      </c>
    </row>
    <row r="2" spans="1:61" ht="21" customHeight="1">
      <c r="B2" s="365"/>
      <c r="C2" s="365"/>
      <c r="D2" s="365"/>
      <c r="G2" s="959" t="s">
        <v>6038</v>
      </c>
      <c r="H2" s="959"/>
      <c r="I2" s="959"/>
      <c r="J2" s="959"/>
      <c r="N2" s="365"/>
      <c r="O2" s="365"/>
      <c r="P2" s="365"/>
      <c r="Q2" s="364"/>
      <c r="R2" s="364"/>
      <c r="AA2" s="365"/>
      <c r="AB2" s="365"/>
      <c r="AI2" s="958" t="s">
        <v>6039</v>
      </c>
      <c r="AJ2" s="958"/>
      <c r="AK2" s="958"/>
      <c r="AL2" s="958"/>
      <c r="AM2" s="958"/>
      <c r="AQ2" s="366"/>
      <c r="AR2" s="367"/>
      <c r="AS2" s="367"/>
      <c r="AT2" s="367"/>
      <c r="AU2" s="368"/>
      <c r="AV2" s="368"/>
      <c r="AW2" s="368"/>
      <c r="AX2" s="369"/>
      <c r="AY2" s="369"/>
      <c r="AZ2" s="369"/>
      <c r="BA2" s="370"/>
      <c r="BB2" s="370"/>
      <c r="BC2" s="370"/>
      <c r="BD2" s="371"/>
      <c r="BE2" s="371"/>
      <c r="BF2" s="371"/>
      <c r="BG2" s="365"/>
      <c r="BH2" s="365"/>
      <c r="BI2" s="365"/>
    </row>
    <row r="3" spans="1:61" ht="21" customHeight="1">
      <c r="A3" s="365"/>
      <c r="B3" s="365"/>
      <c r="C3" s="365"/>
      <c r="D3" s="365"/>
      <c r="E3" s="365"/>
      <c r="G3" s="959"/>
      <c r="H3" s="959"/>
      <c r="I3" s="959"/>
      <c r="J3" s="959"/>
      <c r="M3" s="365"/>
      <c r="N3" s="365"/>
      <c r="O3" s="365"/>
      <c r="P3" s="365"/>
      <c r="Q3" s="365"/>
      <c r="AA3" s="365"/>
      <c r="AB3" s="365"/>
      <c r="AL3" s="364"/>
      <c r="AR3" s="367"/>
      <c r="AS3" s="367"/>
      <c r="AT3" s="367"/>
      <c r="AU3" s="368"/>
      <c r="AV3" s="368"/>
      <c r="AW3" s="368"/>
      <c r="AX3" s="369"/>
      <c r="AY3" s="369"/>
      <c r="AZ3" s="369"/>
      <c r="BA3" s="370"/>
      <c r="BB3" s="370"/>
      <c r="BC3" s="370"/>
      <c r="BD3" s="371"/>
      <c r="BE3" s="371"/>
      <c r="BF3" s="371"/>
      <c r="BG3" s="365"/>
      <c r="BH3" s="365"/>
      <c r="BI3" s="365"/>
    </row>
    <row r="4" spans="1:61" ht="21" customHeight="1">
      <c r="A4" s="365"/>
      <c r="B4" s="365"/>
      <c r="C4" s="372" t="s">
        <v>6040</v>
      </c>
      <c r="D4" s="365"/>
      <c r="E4" s="365"/>
      <c r="G4" s="959"/>
      <c r="H4" s="959"/>
      <c r="I4" s="959"/>
      <c r="J4" s="959"/>
      <c r="L4" s="365"/>
      <c r="M4" s="365"/>
      <c r="N4" s="365"/>
      <c r="O4" s="365"/>
      <c r="P4" s="365"/>
      <c r="Q4" s="365"/>
      <c r="R4" s="365"/>
      <c r="AI4" s="958" t="s">
        <v>6041</v>
      </c>
      <c r="AJ4" s="958"/>
      <c r="AK4" s="958"/>
      <c r="AL4" s="958"/>
      <c r="AM4" s="958"/>
      <c r="AN4" s="958"/>
      <c r="AO4" s="958"/>
      <c r="AP4" s="958"/>
      <c r="AR4" s="364"/>
      <c r="AS4" s="367"/>
      <c r="AT4" s="368"/>
      <c r="AU4" s="368"/>
      <c r="AV4" s="368"/>
      <c r="AW4" s="369"/>
      <c r="AX4" s="369"/>
      <c r="AY4" s="369"/>
      <c r="AZ4" s="370"/>
      <c r="BA4" s="370"/>
      <c r="BB4" s="370"/>
      <c r="BC4" s="371"/>
      <c r="BD4" s="371"/>
      <c r="BE4" s="371"/>
      <c r="BF4" s="365"/>
      <c r="BG4" s="365"/>
      <c r="BH4" s="365"/>
    </row>
    <row r="5" spans="1:61" ht="21" customHeight="1">
      <c r="A5" s="365"/>
      <c r="B5" s="365"/>
      <c r="C5" s="365"/>
      <c r="D5" s="365"/>
      <c r="E5" s="365"/>
      <c r="G5" s="959"/>
      <c r="H5" s="959"/>
      <c r="I5" s="959"/>
      <c r="J5" s="959"/>
      <c r="L5" s="365"/>
      <c r="M5" s="365"/>
      <c r="N5" s="365"/>
      <c r="O5" s="372" t="s">
        <v>6040</v>
      </c>
      <c r="P5" s="365"/>
      <c r="Q5" s="365"/>
      <c r="R5" s="365"/>
      <c r="AA5" s="958" t="s">
        <v>6042</v>
      </c>
      <c r="AB5" s="958"/>
      <c r="AC5" s="958"/>
      <c r="AD5" s="958"/>
      <c r="AE5" s="958"/>
      <c r="AF5" s="958"/>
      <c r="AG5" s="958"/>
      <c r="AI5" s="958" t="s">
        <v>6039</v>
      </c>
      <c r="AJ5" s="958"/>
      <c r="AK5" s="958"/>
      <c r="AL5" s="958"/>
      <c r="AM5" s="958"/>
      <c r="AR5" s="364"/>
      <c r="AS5" s="364"/>
      <c r="AT5" s="368"/>
      <c r="AU5" s="368"/>
      <c r="AV5" s="368"/>
      <c r="AW5" s="369"/>
      <c r="AX5" s="369"/>
      <c r="AY5" s="369"/>
      <c r="AZ5" s="370"/>
      <c r="BA5" s="370"/>
      <c r="BB5" s="370"/>
      <c r="BC5" s="371"/>
      <c r="BD5" s="371"/>
      <c r="BE5" s="371"/>
      <c r="BF5" s="365"/>
      <c r="BG5" s="365"/>
      <c r="BH5" s="365"/>
    </row>
    <row r="6" spans="1:61" ht="21" customHeight="1">
      <c r="B6" s="365"/>
      <c r="C6" s="365"/>
      <c r="D6" s="365"/>
      <c r="L6" s="365"/>
      <c r="M6" s="365"/>
      <c r="N6" s="365"/>
      <c r="O6" s="365"/>
      <c r="P6" s="365"/>
      <c r="Q6" s="365"/>
      <c r="R6" s="365"/>
      <c r="AB6" s="365"/>
      <c r="AC6" s="365"/>
      <c r="AR6" s="364"/>
      <c r="AS6" s="364"/>
      <c r="AT6" s="364"/>
      <c r="AU6" s="368"/>
      <c r="AV6" s="369"/>
      <c r="AW6" s="369"/>
      <c r="AX6" s="369"/>
      <c r="AY6" s="370"/>
      <c r="AZ6" s="370"/>
      <c r="BA6" s="370"/>
      <c r="BB6" s="371"/>
      <c r="BC6" s="371"/>
      <c r="BD6" s="371"/>
      <c r="BE6" s="365"/>
      <c r="BF6" s="365"/>
      <c r="BG6" s="365"/>
    </row>
    <row r="7" spans="1:61" ht="21" customHeight="1">
      <c r="M7" s="365"/>
      <c r="N7" s="365"/>
      <c r="O7" s="365"/>
      <c r="P7" s="365"/>
      <c r="Q7" s="365"/>
      <c r="R7" s="364"/>
      <c r="AA7" s="365"/>
      <c r="AB7" s="365"/>
      <c r="AC7" s="365"/>
      <c r="AD7" s="365"/>
      <c r="AR7" s="364"/>
      <c r="AS7" s="364"/>
      <c r="AT7" s="364"/>
      <c r="AU7" s="364"/>
      <c r="AV7" s="369"/>
      <c r="AW7" s="369"/>
      <c r="AX7" s="369"/>
      <c r="AY7" s="370"/>
      <c r="AZ7" s="370"/>
      <c r="BA7" s="370"/>
      <c r="BB7" s="371"/>
      <c r="BC7" s="371"/>
      <c r="BD7" s="371"/>
      <c r="BE7" s="365"/>
      <c r="BF7" s="365"/>
      <c r="BG7" s="365"/>
    </row>
    <row r="8" spans="1:61" ht="21" customHeight="1">
      <c r="A8" s="958" t="s">
        <v>6043</v>
      </c>
      <c r="B8" s="958"/>
      <c r="C8" s="958"/>
      <c r="D8" s="958"/>
      <c r="E8" s="958"/>
      <c r="F8" s="958"/>
      <c r="N8" s="365"/>
      <c r="O8" s="365"/>
      <c r="P8" s="365"/>
      <c r="Q8" s="364"/>
      <c r="R8" s="364"/>
      <c r="AA8" s="365"/>
      <c r="AB8" s="365"/>
      <c r="AC8" s="365"/>
      <c r="AD8" s="365"/>
      <c r="AJ8" s="958" t="s">
        <v>6044</v>
      </c>
      <c r="AK8" s="958"/>
      <c r="AL8" s="958"/>
      <c r="AM8" s="958"/>
      <c r="AN8" s="958"/>
      <c r="AO8" s="958"/>
      <c r="AP8" s="958"/>
      <c r="AQ8" s="958"/>
      <c r="AR8" s="364"/>
      <c r="AS8" s="364"/>
      <c r="AT8" s="364"/>
      <c r="AU8" s="364"/>
      <c r="AV8" s="364"/>
      <c r="AW8" s="369"/>
      <c r="AX8" s="370"/>
      <c r="AY8" s="370"/>
      <c r="AZ8" s="370"/>
      <c r="BA8" s="371"/>
      <c r="BB8" s="371"/>
      <c r="BC8" s="371"/>
      <c r="BD8" s="365"/>
      <c r="BE8" s="365"/>
      <c r="BF8" s="365"/>
    </row>
    <row r="9" spans="1:61" ht="21" customHeight="1">
      <c r="B9" s="365"/>
      <c r="C9" s="365"/>
      <c r="D9" s="365"/>
      <c r="E9" s="365"/>
      <c r="AB9" s="365"/>
      <c r="AC9" s="365"/>
      <c r="AL9" s="365"/>
      <c r="AM9" s="365"/>
      <c r="AN9" s="365"/>
      <c r="AO9" s="365"/>
      <c r="AR9" s="364"/>
      <c r="AS9" s="364"/>
      <c r="AT9" s="364"/>
      <c r="AU9" s="364"/>
      <c r="AV9" s="364"/>
      <c r="AW9" s="364"/>
      <c r="AX9" s="370"/>
      <c r="AY9" s="370"/>
      <c r="AZ9" s="370"/>
      <c r="BA9" s="371"/>
      <c r="BB9" s="371"/>
      <c r="BC9" s="371"/>
      <c r="BD9" s="365"/>
      <c r="BE9" s="365"/>
      <c r="BF9" s="365"/>
    </row>
    <row r="10" spans="1:61" ht="21" customHeight="1">
      <c r="A10" s="365"/>
      <c r="B10" s="365"/>
      <c r="C10" s="365"/>
      <c r="D10" s="365"/>
      <c r="E10" s="365"/>
      <c r="F10" s="365"/>
      <c r="L10" s="958" t="s">
        <v>6045</v>
      </c>
      <c r="M10" s="958"/>
      <c r="N10" s="958"/>
      <c r="O10" s="958"/>
      <c r="P10" s="958"/>
      <c r="Q10" s="958"/>
      <c r="R10" s="958"/>
      <c r="S10" s="958"/>
      <c r="T10" s="958"/>
      <c r="U10" s="958"/>
      <c r="V10" s="958"/>
      <c r="W10" s="958"/>
      <c r="X10" s="958"/>
      <c r="AK10" s="365"/>
      <c r="AL10" s="365"/>
      <c r="AM10" s="365"/>
      <c r="AN10" s="365"/>
      <c r="AO10" s="365"/>
      <c r="AP10" s="365"/>
      <c r="AR10" s="364"/>
      <c r="AS10" s="364"/>
      <c r="AT10" s="364"/>
      <c r="AU10" s="364"/>
      <c r="AV10" s="364"/>
      <c r="AW10" s="364"/>
      <c r="AX10" s="364"/>
      <c r="AY10" s="370"/>
      <c r="AZ10" s="371"/>
      <c r="BA10" s="371"/>
      <c r="BB10" s="371"/>
      <c r="BC10" s="365"/>
      <c r="BD10" s="365"/>
      <c r="BE10" s="365"/>
    </row>
    <row r="11" spans="1:61" ht="21" customHeight="1">
      <c r="A11" s="365"/>
      <c r="B11" s="365"/>
      <c r="C11" s="372" t="s">
        <v>6040</v>
      </c>
      <c r="D11" s="372" t="s">
        <v>6040</v>
      </c>
      <c r="E11" s="365"/>
      <c r="F11" s="365"/>
      <c r="P11" s="365"/>
      <c r="Q11" s="365"/>
      <c r="R11" s="365"/>
      <c r="S11" s="365"/>
      <c r="T11" s="365"/>
      <c r="AA11" s="958" t="s">
        <v>6046</v>
      </c>
      <c r="AB11" s="958"/>
      <c r="AC11" s="958"/>
      <c r="AD11" s="958"/>
      <c r="AE11" s="958"/>
      <c r="AF11" s="958"/>
      <c r="AJ11" s="365"/>
      <c r="AK11" s="365"/>
      <c r="AL11" s="365"/>
      <c r="AM11" s="365"/>
      <c r="AN11" s="365"/>
      <c r="AO11" s="365"/>
      <c r="AP11" s="365"/>
      <c r="AQ11" s="365"/>
      <c r="AR11" s="364"/>
      <c r="AS11" s="364"/>
      <c r="AT11" s="364"/>
      <c r="AU11" s="364"/>
      <c r="AV11" s="364"/>
      <c r="AW11" s="364"/>
      <c r="AX11" s="364"/>
      <c r="AY11" s="364"/>
      <c r="AZ11" s="371"/>
      <c r="BA11" s="371"/>
      <c r="BB11" s="371"/>
      <c r="BC11" s="365"/>
      <c r="BD11" s="365"/>
      <c r="BE11" s="365"/>
    </row>
    <row r="12" spans="1:61" ht="21" customHeight="1">
      <c r="A12" s="365"/>
      <c r="B12" s="365"/>
      <c r="C12" s="372" t="s">
        <v>6040</v>
      </c>
      <c r="D12" s="372" t="s">
        <v>6040</v>
      </c>
      <c r="E12" s="365"/>
      <c r="F12" s="365"/>
      <c r="N12" s="365"/>
      <c r="O12" s="365"/>
      <c r="P12" s="365"/>
      <c r="Q12" s="365"/>
      <c r="R12" s="365"/>
      <c r="S12" s="365"/>
      <c r="T12" s="365"/>
      <c r="U12" s="365"/>
      <c r="V12" s="365"/>
      <c r="AB12" s="365"/>
      <c r="AC12" s="365"/>
      <c r="AD12" s="365"/>
      <c r="AE12" s="365"/>
      <c r="AJ12" s="365"/>
      <c r="AK12" s="365"/>
      <c r="AL12" s="365"/>
      <c r="AM12" s="365"/>
      <c r="AN12" s="365"/>
      <c r="AO12" s="365"/>
      <c r="AP12" s="365"/>
      <c r="AQ12" s="365"/>
      <c r="AR12" s="364"/>
      <c r="AS12" s="364"/>
      <c r="AT12" s="364"/>
      <c r="AU12" s="364"/>
      <c r="AV12" s="364"/>
      <c r="AW12" s="364"/>
      <c r="AX12" s="364"/>
      <c r="AY12" s="364"/>
      <c r="AZ12" s="364"/>
      <c r="BA12" s="371"/>
      <c r="BB12" s="365"/>
      <c r="BC12" s="365"/>
      <c r="BD12" s="365"/>
    </row>
    <row r="13" spans="1:61" ht="21" customHeight="1">
      <c r="A13" s="365"/>
      <c r="B13" s="365"/>
      <c r="C13" s="365"/>
      <c r="D13" s="365"/>
      <c r="E13" s="365"/>
      <c r="F13" s="365"/>
      <c r="M13" s="365"/>
      <c r="N13" s="365"/>
      <c r="O13" s="365"/>
      <c r="P13" s="365"/>
      <c r="Q13" s="365"/>
      <c r="R13" s="365"/>
      <c r="S13" s="365"/>
      <c r="T13" s="365"/>
      <c r="U13" s="365"/>
      <c r="V13" s="365"/>
      <c r="W13" s="365"/>
      <c r="AA13" s="365"/>
      <c r="AB13" s="365"/>
      <c r="AC13" s="365"/>
      <c r="AD13" s="365"/>
      <c r="AE13" s="365"/>
      <c r="AF13" s="365"/>
      <c r="AJ13" s="365"/>
      <c r="AK13" s="365"/>
      <c r="AL13" s="365"/>
      <c r="AM13" s="365"/>
      <c r="AN13" s="365"/>
      <c r="AO13" s="365"/>
      <c r="AP13" s="365"/>
      <c r="AQ13" s="365"/>
      <c r="AR13" s="364"/>
      <c r="AS13" s="364"/>
      <c r="AT13" s="364"/>
      <c r="AU13" s="364"/>
      <c r="AV13" s="364"/>
      <c r="AW13" s="364"/>
      <c r="AX13" s="364"/>
      <c r="AY13" s="364"/>
      <c r="BB13" s="365"/>
      <c r="BC13" s="365"/>
      <c r="BD13" s="365"/>
    </row>
    <row r="14" spans="1:61" ht="21" customHeight="1">
      <c r="B14" s="365"/>
      <c r="C14" s="365"/>
      <c r="D14" s="365"/>
      <c r="E14" s="365"/>
      <c r="M14" s="365"/>
      <c r="N14" s="365"/>
      <c r="O14" s="365"/>
      <c r="P14" s="365"/>
      <c r="Q14" s="365"/>
      <c r="R14" s="365"/>
      <c r="S14" s="365"/>
      <c r="T14" s="365"/>
      <c r="U14" s="365"/>
      <c r="V14" s="365"/>
      <c r="W14" s="365"/>
      <c r="AA14" s="365"/>
      <c r="AB14" s="365"/>
      <c r="AC14" s="365"/>
      <c r="AD14" s="365"/>
      <c r="AE14" s="365"/>
      <c r="AF14" s="365"/>
      <c r="AJ14" s="365"/>
      <c r="AK14" s="365"/>
      <c r="AL14" s="365"/>
      <c r="AM14" s="365"/>
      <c r="AN14" s="365"/>
      <c r="AO14" s="365"/>
      <c r="AP14" s="365"/>
      <c r="AQ14" s="365"/>
      <c r="AR14" s="364"/>
      <c r="AS14" s="364"/>
      <c r="AT14" s="364"/>
      <c r="AU14" s="364"/>
      <c r="AV14" s="364"/>
      <c r="AW14" s="364"/>
      <c r="AX14" s="364"/>
      <c r="AY14" s="364"/>
      <c r="BC14" s="365"/>
    </row>
    <row r="15" spans="1:61" ht="21" customHeight="1">
      <c r="L15" s="365"/>
      <c r="M15" s="365"/>
      <c r="N15" s="365"/>
      <c r="O15" s="365"/>
      <c r="P15" s="365"/>
      <c r="Q15" s="365"/>
      <c r="R15" s="365"/>
      <c r="S15" s="365"/>
      <c r="T15" s="365"/>
      <c r="U15" s="365"/>
      <c r="V15" s="365"/>
      <c r="W15" s="365"/>
      <c r="X15" s="365"/>
      <c r="AA15" s="365"/>
      <c r="AB15" s="365"/>
      <c r="AC15" s="365"/>
      <c r="AD15" s="365"/>
      <c r="AE15" s="365"/>
      <c r="AF15" s="365"/>
      <c r="AK15" s="365"/>
      <c r="AL15" s="365"/>
      <c r="AM15" s="365"/>
      <c r="AN15" s="365"/>
      <c r="AO15" s="365"/>
      <c r="AP15" s="365"/>
    </row>
    <row r="16" spans="1:61" ht="21" customHeight="1">
      <c r="A16" s="958" t="s">
        <v>6047</v>
      </c>
      <c r="B16" s="958"/>
      <c r="C16" s="958"/>
      <c r="D16" s="958"/>
      <c r="E16" s="958"/>
      <c r="F16" s="958"/>
      <c r="G16" s="958"/>
      <c r="L16" s="365"/>
      <c r="M16" s="365"/>
      <c r="N16" s="365"/>
      <c r="O16" s="365"/>
      <c r="P16" s="365"/>
      <c r="Q16" s="365"/>
      <c r="R16" s="365"/>
      <c r="S16" s="365"/>
      <c r="T16" s="365"/>
      <c r="U16" s="365"/>
      <c r="V16" s="365"/>
      <c r="W16" s="365"/>
      <c r="X16" s="365"/>
      <c r="AA16" s="365"/>
      <c r="AB16" s="365"/>
      <c r="AC16" s="365"/>
      <c r="AD16" s="365"/>
      <c r="AE16" s="365"/>
      <c r="AF16" s="365"/>
      <c r="AL16" s="365"/>
      <c r="AM16" s="365"/>
      <c r="AN16" s="365"/>
      <c r="AO16" s="365"/>
    </row>
    <row r="17" spans="1:53" ht="21" customHeight="1">
      <c r="B17" s="365"/>
      <c r="C17" s="365"/>
      <c r="D17" s="365"/>
      <c r="E17" s="365"/>
      <c r="F17" s="365"/>
      <c r="L17" s="365"/>
      <c r="M17" s="365"/>
      <c r="N17" s="365"/>
      <c r="O17" s="365"/>
      <c r="P17" s="365"/>
      <c r="Q17" s="365"/>
      <c r="R17" s="372" t="s">
        <v>6040</v>
      </c>
      <c r="S17" s="365"/>
      <c r="T17" s="365"/>
      <c r="U17" s="365"/>
      <c r="V17" s="365"/>
      <c r="W17" s="365"/>
      <c r="X17" s="365"/>
      <c r="AB17" s="365"/>
      <c r="AC17" s="365"/>
      <c r="AD17" s="365"/>
      <c r="AE17" s="365"/>
    </row>
    <row r="18" spans="1:53" ht="21" customHeight="1">
      <c r="A18" s="365"/>
      <c r="B18" s="365"/>
      <c r="C18" s="365"/>
      <c r="D18" s="365"/>
      <c r="E18" s="365"/>
      <c r="F18" s="365"/>
      <c r="G18" s="365"/>
      <c r="L18" s="365"/>
      <c r="M18" s="365"/>
      <c r="N18" s="365"/>
      <c r="O18" s="365"/>
      <c r="P18" s="365"/>
      <c r="Q18" s="365"/>
      <c r="R18" s="365"/>
      <c r="S18" s="365"/>
      <c r="T18" s="365"/>
      <c r="U18" s="365"/>
      <c r="V18" s="365"/>
      <c r="W18" s="365"/>
      <c r="X18" s="365"/>
    </row>
    <row r="19" spans="1:53" ht="21" customHeight="1">
      <c r="A19" s="365"/>
      <c r="B19" s="365"/>
      <c r="C19" s="372" t="s">
        <v>6040</v>
      </c>
      <c r="D19" s="372"/>
      <c r="E19" s="372" t="s">
        <v>6040</v>
      </c>
      <c r="F19" s="365"/>
      <c r="G19" s="365"/>
      <c r="L19" s="365"/>
      <c r="M19" s="365"/>
      <c r="N19" s="365"/>
      <c r="O19" s="365"/>
      <c r="P19" s="365"/>
      <c r="Q19" s="365"/>
      <c r="R19" s="365"/>
      <c r="S19" s="365"/>
      <c r="T19" s="365"/>
      <c r="U19" s="365"/>
      <c r="V19" s="365"/>
      <c r="W19" s="365"/>
      <c r="X19" s="365"/>
    </row>
    <row r="20" spans="1:53" ht="21" customHeight="1">
      <c r="A20" s="365"/>
      <c r="B20" s="365"/>
      <c r="C20" s="372"/>
      <c r="D20" s="372"/>
      <c r="E20" s="372"/>
      <c r="F20" s="365"/>
      <c r="G20" s="365"/>
      <c r="M20" s="365"/>
      <c r="N20" s="365"/>
      <c r="O20" s="365"/>
      <c r="P20" s="365"/>
      <c r="Q20" s="365"/>
      <c r="R20" s="365"/>
      <c r="S20" s="365"/>
      <c r="T20" s="365"/>
      <c r="U20" s="365"/>
      <c r="V20" s="365"/>
      <c r="W20" s="365"/>
    </row>
    <row r="21" spans="1:53" ht="21" customHeight="1">
      <c r="A21" s="365"/>
      <c r="B21" s="365"/>
      <c r="C21" s="372" t="s">
        <v>6040</v>
      </c>
      <c r="D21" s="372"/>
      <c r="E21" s="372" t="s">
        <v>6040</v>
      </c>
      <c r="F21" s="365"/>
      <c r="G21" s="365"/>
      <c r="M21" s="365"/>
      <c r="N21" s="365"/>
      <c r="O21" s="365"/>
      <c r="P21" s="365"/>
      <c r="Q21" s="365"/>
      <c r="R21" s="365"/>
      <c r="S21" s="365"/>
      <c r="T21" s="365"/>
      <c r="U21" s="365"/>
      <c r="V21" s="365"/>
      <c r="W21" s="365"/>
    </row>
    <row r="22" spans="1:53" ht="21" customHeight="1">
      <c r="A22" s="365"/>
      <c r="B22" s="365"/>
      <c r="C22" s="365"/>
      <c r="D22" s="365"/>
      <c r="E22" s="365"/>
      <c r="F22" s="365"/>
      <c r="G22" s="365"/>
      <c r="N22" s="365"/>
      <c r="O22" s="365"/>
      <c r="P22" s="365"/>
      <c r="Q22" s="365"/>
      <c r="R22" s="365"/>
      <c r="S22" s="365"/>
      <c r="T22" s="365"/>
      <c r="U22" s="365"/>
      <c r="V22" s="365"/>
    </row>
    <row r="23" spans="1:53" ht="21" customHeight="1">
      <c r="B23" s="365"/>
      <c r="C23" s="365"/>
      <c r="D23" s="365"/>
      <c r="E23" s="365"/>
      <c r="F23" s="365"/>
      <c r="P23" s="365"/>
      <c r="Q23" s="365"/>
      <c r="R23" s="365"/>
      <c r="S23" s="365"/>
      <c r="T23" s="365"/>
    </row>
    <row r="28" spans="1:53" ht="21" customHeight="1">
      <c r="AP28" s="364"/>
      <c r="AQ28" s="364"/>
      <c r="AR28" s="364"/>
      <c r="AS28" s="364"/>
      <c r="AT28" s="364"/>
      <c r="AU28" s="364"/>
      <c r="AV28" s="364"/>
      <c r="AW28" s="364"/>
      <c r="AX28" s="364"/>
      <c r="AY28" s="364"/>
      <c r="AZ28" s="364"/>
      <c r="BA28" s="364"/>
    </row>
    <row r="29" spans="1:53" ht="21" customHeight="1">
      <c r="AP29" s="364"/>
      <c r="AQ29" s="364"/>
      <c r="AR29" s="364"/>
      <c r="AS29" s="364"/>
      <c r="AT29" s="364"/>
      <c r="AU29" s="364"/>
      <c r="AV29" s="364"/>
      <c r="AW29" s="364"/>
      <c r="AX29" s="364"/>
      <c r="AY29" s="364"/>
      <c r="AZ29" s="364"/>
      <c r="BA29" s="364"/>
    </row>
    <row r="30" spans="1:53" ht="21" customHeight="1">
      <c r="AT30" s="364"/>
      <c r="AU30" s="364"/>
      <c r="AV30" s="364"/>
      <c r="AW30" s="364"/>
      <c r="AX30" s="364"/>
      <c r="AY30" s="364"/>
      <c r="AZ30" s="364"/>
      <c r="BA30" s="364"/>
    </row>
    <row r="31" spans="1:53" ht="21" customHeight="1">
      <c r="AT31" s="364"/>
      <c r="AU31" s="364"/>
      <c r="AV31" s="364"/>
      <c r="AW31" s="364"/>
      <c r="AX31" s="364"/>
      <c r="AY31" s="364"/>
      <c r="AZ31" s="364"/>
      <c r="BA31" s="364"/>
    </row>
    <row r="32" spans="1:53" ht="21" customHeight="1">
      <c r="AT32" s="364"/>
      <c r="AU32" s="364"/>
      <c r="AV32" s="364"/>
      <c r="AW32" s="364"/>
      <c r="AX32" s="364"/>
      <c r="AY32" s="364"/>
      <c r="AZ32" s="364"/>
      <c r="BA32" s="364"/>
    </row>
    <row r="33" spans="22:55" ht="21" customHeight="1">
      <c r="AD33" s="364"/>
      <c r="AE33" s="364"/>
      <c r="AF33" s="364"/>
      <c r="AG33" s="364"/>
      <c r="AH33" s="364"/>
      <c r="AI33" s="364"/>
      <c r="AJ33" s="364"/>
      <c r="AK33" s="364"/>
      <c r="AL33" s="364"/>
      <c r="AM33" s="364"/>
      <c r="AN33" s="364"/>
    </row>
    <row r="34" spans="22:55" ht="21" customHeight="1">
      <c r="AD34" s="364"/>
      <c r="AE34" s="364"/>
      <c r="AF34" s="364"/>
      <c r="AG34" s="364"/>
      <c r="AH34" s="364"/>
      <c r="AI34" s="364"/>
      <c r="AJ34" s="364"/>
      <c r="AK34" s="364"/>
      <c r="AL34" s="364"/>
      <c r="AM34" s="364"/>
      <c r="AN34" s="364"/>
    </row>
    <row r="35" spans="22:55" ht="21" customHeight="1">
      <c r="AD35" s="364"/>
      <c r="AE35" s="364"/>
      <c r="AF35" s="364"/>
      <c r="AG35" s="364"/>
      <c r="AH35" s="364"/>
      <c r="AI35" s="364"/>
      <c r="AJ35" s="364"/>
      <c r="AK35" s="364"/>
      <c r="AL35" s="364"/>
      <c r="AM35" s="364"/>
      <c r="AP35" s="364"/>
      <c r="AQ35" s="364"/>
      <c r="AR35" s="364"/>
      <c r="AS35" s="364"/>
    </row>
    <row r="36" spans="22:55" ht="21" customHeight="1">
      <c r="AD36" s="364"/>
      <c r="AE36" s="364"/>
      <c r="AF36" s="364"/>
      <c r="AG36" s="364"/>
      <c r="AH36" s="364"/>
      <c r="AI36" s="364"/>
      <c r="AJ36" s="364"/>
      <c r="AK36" s="364"/>
      <c r="AL36" s="364"/>
      <c r="AM36" s="364"/>
      <c r="AP36" s="364"/>
      <c r="AQ36" s="364"/>
      <c r="AR36" s="364"/>
      <c r="AS36" s="364"/>
    </row>
    <row r="37" spans="22:55" ht="21" customHeight="1">
      <c r="AD37" s="364"/>
      <c r="AE37" s="364"/>
      <c r="AF37" s="364"/>
      <c r="AG37" s="364"/>
      <c r="AH37" s="364"/>
      <c r="AI37" s="364"/>
      <c r="AJ37" s="364"/>
      <c r="AK37" s="364"/>
      <c r="AL37" s="364"/>
      <c r="AM37" s="364"/>
      <c r="AP37" s="364"/>
      <c r="AQ37" s="364"/>
      <c r="AR37" s="364"/>
      <c r="AS37" s="364"/>
    </row>
    <row r="38" spans="22:55" ht="21" customHeight="1">
      <c r="V38" s="364"/>
      <c r="AD38" s="364"/>
      <c r="AE38" s="364"/>
      <c r="AF38" s="364"/>
      <c r="AG38" s="364"/>
      <c r="AH38" s="364"/>
      <c r="AI38" s="364"/>
      <c r="AJ38" s="364"/>
      <c r="AK38" s="364"/>
      <c r="AL38" s="364"/>
      <c r="AM38" s="364"/>
      <c r="AP38" s="364"/>
      <c r="AQ38" s="364"/>
      <c r="AR38" s="364"/>
      <c r="AS38" s="364"/>
    </row>
    <row r="39" spans="22:55" ht="21" customHeight="1">
      <c r="AD39" s="364"/>
      <c r="AE39" s="364"/>
      <c r="AF39" s="364"/>
      <c r="AG39" s="364"/>
      <c r="AH39" s="364"/>
      <c r="AI39" s="364"/>
      <c r="AJ39" s="364"/>
      <c r="AK39" s="364"/>
      <c r="AL39" s="364"/>
      <c r="AM39" s="364"/>
      <c r="AS39" s="364"/>
      <c r="AV39" s="364"/>
      <c r="AW39" s="364"/>
      <c r="AX39" s="364"/>
      <c r="AY39" s="364"/>
      <c r="AZ39" s="364"/>
      <c r="BA39" s="364"/>
      <c r="BB39" s="364"/>
      <c r="BC39" s="364"/>
    </row>
    <row r="40" spans="22:55" ht="21" customHeight="1">
      <c r="AD40" s="364"/>
      <c r="AE40" s="364"/>
      <c r="AF40" s="364"/>
      <c r="AG40" s="364"/>
      <c r="AH40" s="364"/>
      <c r="AI40" s="364"/>
      <c r="AJ40" s="364"/>
      <c r="AK40" s="364"/>
      <c r="AL40" s="364"/>
      <c r="AM40" s="364"/>
      <c r="AS40" s="364"/>
    </row>
    <row r="41" spans="22:55" ht="21" customHeight="1">
      <c r="AD41" s="364"/>
      <c r="AE41" s="364"/>
      <c r="AF41" s="364"/>
      <c r="AG41" s="364"/>
      <c r="AH41" s="364"/>
      <c r="AI41" s="364"/>
      <c r="AJ41" s="364"/>
      <c r="AK41" s="364"/>
      <c r="AL41" s="364"/>
      <c r="AM41" s="364"/>
      <c r="AS41" s="364"/>
    </row>
    <row r="42" spans="22:55" ht="21" customHeight="1">
      <c r="AD42" s="364"/>
      <c r="AE42" s="364"/>
      <c r="AF42" s="364"/>
      <c r="AG42" s="364"/>
      <c r="AH42" s="364"/>
      <c r="AI42" s="364"/>
      <c r="AJ42" s="364"/>
      <c r="AK42" s="364"/>
      <c r="AL42" s="364"/>
      <c r="AM42" s="364"/>
      <c r="AR42" s="364"/>
      <c r="AS42" s="364"/>
    </row>
    <row r="43" spans="22:55" ht="21" customHeight="1">
      <c r="AD43" s="364"/>
      <c r="AE43" s="364"/>
      <c r="AF43" s="364"/>
      <c r="AG43" s="364"/>
      <c r="AH43" s="364"/>
      <c r="AI43" s="364"/>
      <c r="AJ43" s="364"/>
      <c r="AK43" s="364"/>
      <c r="AL43" s="364"/>
      <c r="AM43" s="364"/>
      <c r="AR43" s="364"/>
      <c r="AS43" s="364"/>
    </row>
    <row r="44" spans="22:55" ht="21" customHeight="1">
      <c r="AD44" s="364"/>
      <c r="AE44" s="364"/>
      <c r="AF44" s="364"/>
      <c r="AG44" s="364"/>
      <c r="AH44" s="364"/>
      <c r="AI44" s="364"/>
      <c r="AJ44" s="364"/>
      <c r="AK44" s="364"/>
      <c r="AL44" s="364"/>
      <c r="AM44" s="364"/>
      <c r="AR44" s="364"/>
      <c r="AS44" s="364"/>
    </row>
    <row r="45" spans="22:55" ht="21" customHeight="1">
      <c r="AD45" s="364"/>
      <c r="AE45" s="364"/>
      <c r="AF45" s="364"/>
      <c r="AG45" s="364"/>
      <c r="AH45" s="364"/>
      <c r="AI45" s="364"/>
      <c r="AJ45" s="364"/>
      <c r="AK45" s="364"/>
      <c r="AL45" s="364"/>
      <c r="AM45" s="364"/>
      <c r="AR45" s="364"/>
      <c r="AS45" s="364"/>
    </row>
    <row r="46" spans="22:55" ht="21" customHeight="1">
      <c r="AD46" s="364"/>
      <c r="AE46" s="364"/>
      <c r="AF46" s="364"/>
      <c r="AG46" s="364"/>
      <c r="AH46" s="364"/>
      <c r="AI46" s="364"/>
      <c r="AJ46" s="364"/>
      <c r="AK46" s="364"/>
      <c r="AL46" s="364"/>
      <c r="AM46" s="364"/>
      <c r="AR46" s="364"/>
      <c r="AS46" s="364"/>
    </row>
    <row r="47" spans="22:55" ht="21" customHeight="1">
      <c r="AD47" s="364"/>
      <c r="AE47" s="364"/>
      <c r="AF47" s="364"/>
      <c r="AG47" s="364"/>
      <c r="AH47" s="364"/>
      <c r="AI47" s="364"/>
      <c r="AJ47" s="364"/>
      <c r="AK47" s="364"/>
      <c r="AL47" s="364"/>
      <c r="AM47" s="364"/>
      <c r="AR47" s="364"/>
      <c r="AS47" s="364"/>
    </row>
    <row r="48" spans="22:55" ht="21" customHeight="1">
      <c r="AD48" s="364"/>
      <c r="AE48" s="364"/>
      <c r="AF48" s="364"/>
      <c r="AG48" s="364"/>
      <c r="AH48" s="364"/>
      <c r="AI48" s="364"/>
      <c r="AJ48" s="364"/>
      <c r="AK48" s="364"/>
      <c r="AL48" s="364"/>
      <c r="AM48" s="364"/>
      <c r="AR48" s="364"/>
      <c r="AS48" s="364"/>
    </row>
    <row r="49" spans="29:45" ht="21" customHeight="1">
      <c r="AD49" s="364"/>
      <c r="AE49" s="364"/>
      <c r="AF49" s="364"/>
      <c r="AG49" s="364"/>
      <c r="AH49" s="364"/>
      <c r="AI49" s="364"/>
      <c r="AJ49" s="364"/>
      <c r="AK49" s="364"/>
      <c r="AL49" s="364"/>
      <c r="AM49" s="364"/>
      <c r="AQ49" s="364"/>
      <c r="AR49" s="364"/>
      <c r="AS49" s="364"/>
    </row>
    <row r="50" spans="29:45" ht="21" customHeight="1">
      <c r="AC50" s="364"/>
      <c r="AD50" s="364"/>
      <c r="AE50" s="364"/>
      <c r="AF50" s="364"/>
      <c r="AG50" s="364"/>
      <c r="AH50" s="364"/>
      <c r="AI50" s="364"/>
      <c r="AJ50" s="364"/>
      <c r="AK50" s="364"/>
      <c r="AL50" s="364"/>
      <c r="AM50" s="364"/>
      <c r="AQ50" s="364"/>
      <c r="AR50" s="364"/>
      <c r="AS50" s="364"/>
    </row>
    <row r="51" spans="29:45" ht="21" customHeight="1">
      <c r="AC51" s="364"/>
      <c r="AD51" s="364"/>
      <c r="AE51" s="364"/>
      <c r="AF51" s="364"/>
      <c r="AG51" s="364"/>
      <c r="AH51" s="364"/>
      <c r="AI51" s="364"/>
      <c r="AJ51" s="364"/>
      <c r="AK51" s="364"/>
      <c r="AL51" s="364"/>
      <c r="AM51" s="364"/>
      <c r="AQ51" s="364"/>
      <c r="AR51" s="364"/>
      <c r="AS51" s="364"/>
    </row>
    <row r="52" spans="29:45" ht="21" customHeight="1">
      <c r="AC52" s="364"/>
      <c r="AD52" s="364"/>
      <c r="AE52" s="364"/>
      <c r="AF52" s="364"/>
      <c r="AG52" s="364"/>
      <c r="AH52" s="364"/>
      <c r="AI52" s="364"/>
      <c r="AJ52" s="364"/>
      <c r="AK52" s="364"/>
      <c r="AL52" s="364"/>
      <c r="AM52" s="364"/>
      <c r="AQ52" s="364"/>
      <c r="AR52" s="364"/>
      <c r="AS52" s="364"/>
    </row>
    <row r="53" spans="29:45" ht="21" customHeight="1">
      <c r="AC53" s="364"/>
      <c r="AD53" s="364"/>
      <c r="AE53" s="364"/>
      <c r="AF53" s="364"/>
      <c r="AG53" s="364"/>
      <c r="AH53" s="364"/>
      <c r="AI53" s="364"/>
      <c r="AJ53" s="364"/>
      <c r="AK53" s="364"/>
      <c r="AL53" s="364"/>
      <c r="AM53" s="364"/>
      <c r="AQ53" s="364"/>
      <c r="AR53" s="364"/>
      <c r="AS53" s="364"/>
    </row>
    <row r="54" spans="29:45" ht="21" customHeight="1">
      <c r="AD54" s="364"/>
      <c r="AE54" s="364"/>
      <c r="AF54" s="364"/>
      <c r="AG54" s="364"/>
      <c r="AH54" s="364"/>
      <c r="AI54" s="364"/>
      <c r="AJ54" s="364"/>
      <c r="AK54" s="364"/>
      <c r="AL54" s="364"/>
      <c r="AM54" s="364"/>
    </row>
    <row r="55" spans="29:45" ht="21" customHeight="1">
      <c r="AD55" s="364"/>
      <c r="AE55" s="364"/>
      <c r="AF55" s="364"/>
      <c r="AG55" s="364"/>
      <c r="AH55" s="364"/>
      <c r="AI55" s="364"/>
      <c r="AJ55" s="364"/>
      <c r="AK55" s="364"/>
      <c r="AL55" s="364"/>
      <c r="AM55" s="364"/>
    </row>
    <row r="56" spans="29:45" ht="21" customHeight="1">
      <c r="AD56" s="364"/>
      <c r="AE56" s="364"/>
      <c r="AF56" s="364"/>
      <c r="AG56" s="364"/>
      <c r="AH56" s="364"/>
      <c r="AI56" s="364"/>
      <c r="AJ56" s="364"/>
      <c r="AK56" s="364"/>
      <c r="AL56" s="364"/>
      <c r="AM56" s="364"/>
    </row>
    <row r="57" spans="29:45" ht="21" customHeight="1">
      <c r="AD57" s="364"/>
      <c r="AE57" s="364"/>
      <c r="AF57" s="364"/>
      <c r="AG57" s="364"/>
      <c r="AH57" s="364"/>
      <c r="AI57" s="364"/>
      <c r="AJ57" s="364"/>
      <c r="AK57" s="364"/>
      <c r="AL57" s="364"/>
      <c r="AM57" s="364"/>
    </row>
    <row r="58" spans="29:45" ht="21" customHeight="1">
      <c r="AD58" s="364"/>
      <c r="AE58" s="364"/>
      <c r="AF58" s="364"/>
      <c r="AG58" s="364"/>
      <c r="AH58" s="364"/>
      <c r="AI58" s="364"/>
      <c r="AJ58" s="364"/>
      <c r="AK58" s="364"/>
      <c r="AL58" s="364"/>
      <c r="AM58" s="364"/>
    </row>
    <row r="59" spans="29:45" ht="21" customHeight="1">
      <c r="AD59" s="364"/>
      <c r="AE59" s="364"/>
      <c r="AF59" s="364"/>
      <c r="AG59" s="364"/>
      <c r="AH59" s="364"/>
      <c r="AI59" s="364"/>
      <c r="AJ59" s="364"/>
      <c r="AK59" s="364"/>
      <c r="AL59" s="364"/>
      <c r="AM59" s="364"/>
    </row>
    <row r="60" spans="29:45" ht="21" customHeight="1">
      <c r="AD60" s="364"/>
      <c r="AE60" s="364"/>
      <c r="AF60" s="364"/>
      <c r="AG60" s="364"/>
      <c r="AH60" s="364"/>
      <c r="AI60" s="364"/>
      <c r="AJ60" s="364"/>
      <c r="AK60" s="364"/>
      <c r="AL60" s="364"/>
      <c r="AM60" s="364"/>
    </row>
    <row r="61" spans="29:45" ht="21" customHeight="1">
      <c r="AD61" s="364"/>
      <c r="AE61" s="364"/>
      <c r="AF61" s="364"/>
      <c r="AG61" s="364"/>
      <c r="AH61" s="364"/>
      <c r="AI61" s="364"/>
      <c r="AJ61" s="364"/>
      <c r="AK61" s="364"/>
      <c r="AL61" s="364"/>
      <c r="AM61" s="364"/>
    </row>
    <row r="62" spans="29:45" ht="21" customHeight="1">
      <c r="AD62" s="364"/>
      <c r="AE62" s="364"/>
      <c r="AF62" s="364"/>
      <c r="AG62" s="364"/>
      <c r="AH62" s="364"/>
      <c r="AI62" s="364"/>
      <c r="AJ62" s="364"/>
      <c r="AK62" s="364"/>
      <c r="AL62" s="364"/>
      <c r="AM62" s="364"/>
    </row>
    <row r="63" spans="29:45" ht="21" customHeight="1">
      <c r="AD63" s="364"/>
      <c r="AE63" s="364"/>
      <c r="AF63" s="364"/>
      <c r="AG63" s="364"/>
      <c r="AH63" s="364"/>
      <c r="AI63" s="364"/>
      <c r="AJ63" s="364"/>
      <c r="AK63" s="364"/>
      <c r="AL63" s="364"/>
      <c r="AM63" s="364"/>
    </row>
    <row r="64" spans="29:45" ht="21" customHeight="1">
      <c r="AD64" s="364"/>
      <c r="AE64" s="364"/>
      <c r="AF64" s="364"/>
      <c r="AG64" s="364"/>
      <c r="AH64" s="364"/>
      <c r="AI64" s="364"/>
      <c r="AJ64" s="364"/>
      <c r="AK64" s="364"/>
      <c r="AL64" s="364"/>
      <c r="AM64" s="364"/>
    </row>
    <row r="65" spans="30:39" ht="21" customHeight="1">
      <c r="AD65" s="364"/>
      <c r="AE65" s="364"/>
      <c r="AF65" s="364"/>
      <c r="AG65" s="364"/>
      <c r="AH65" s="364"/>
      <c r="AI65" s="364"/>
      <c r="AJ65" s="364"/>
      <c r="AK65" s="364"/>
      <c r="AL65" s="364"/>
      <c r="AM65" s="364"/>
    </row>
    <row r="66" spans="30:39" ht="21" customHeight="1">
      <c r="AD66" s="364"/>
      <c r="AE66" s="364"/>
      <c r="AF66" s="364"/>
      <c r="AG66" s="364"/>
      <c r="AH66" s="364"/>
      <c r="AI66" s="364"/>
      <c r="AJ66" s="364"/>
      <c r="AK66" s="364"/>
      <c r="AL66" s="364"/>
      <c r="AM66" s="364"/>
    </row>
    <row r="67" spans="30:39" ht="21" customHeight="1">
      <c r="AD67" s="364"/>
      <c r="AE67" s="364"/>
      <c r="AF67" s="364"/>
      <c r="AG67" s="364"/>
      <c r="AH67" s="364"/>
      <c r="AI67" s="364"/>
      <c r="AJ67" s="364"/>
      <c r="AK67" s="364"/>
      <c r="AL67" s="364"/>
      <c r="AM67" s="364"/>
    </row>
    <row r="68" spans="30:39" ht="21" customHeight="1">
      <c r="AD68" s="364"/>
      <c r="AE68" s="364"/>
      <c r="AF68" s="364"/>
      <c r="AG68" s="364"/>
      <c r="AH68" s="364"/>
      <c r="AI68" s="364"/>
      <c r="AJ68" s="364"/>
      <c r="AK68" s="364"/>
      <c r="AL68" s="364"/>
      <c r="AM68" s="364"/>
    </row>
    <row r="69" spans="30:39" ht="21" customHeight="1">
      <c r="AD69" s="364"/>
      <c r="AE69" s="364"/>
      <c r="AF69" s="364"/>
      <c r="AG69" s="364"/>
      <c r="AH69" s="364"/>
      <c r="AI69" s="364"/>
      <c r="AJ69" s="364"/>
      <c r="AK69" s="364"/>
      <c r="AL69" s="364"/>
      <c r="AM69" s="364"/>
    </row>
    <row r="70" spans="30:39" ht="21" customHeight="1">
      <c r="AD70" s="364"/>
      <c r="AE70" s="364"/>
      <c r="AF70" s="364"/>
      <c r="AG70" s="364"/>
      <c r="AH70" s="364"/>
      <c r="AI70" s="364"/>
      <c r="AJ70" s="364"/>
      <c r="AK70" s="364"/>
      <c r="AL70" s="364"/>
      <c r="AM70" s="364"/>
    </row>
    <row r="71" spans="30:39" ht="21" customHeight="1">
      <c r="AD71" s="364"/>
      <c r="AE71" s="364"/>
      <c r="AF71" s="364"/>
      <c r="AG71" s="364"/>
      <c r="AH71" s="364"/>
      <c r="AI71" s="364"/>
      <c r="AJ71" s="364"/>
      <c r="AK71" s="364"/>
      <c r="AL71" s="364"/>
      <c r="AM71" s="364"/>
    </row>
  </sheetData>
  <mergeCells count="14">
    <mergeCell ref="A1:J1"/>
    <mergeCell ref="L1:S1"/>
    <mergeCell ref="AA1:AG1"/>
    <mergeCell ref="AI1:AM1"/>
    <mergeCell ref="G2:J5"/>
    <mergeCell ref="AI2:AM2"/>
    <mergeCell ref="AI4:AP4"/>
    <mergeCell ref="AA5:AG5"/>
    <mergeCell ref="AI5:AM5"/>
    <mergeCell ref="A8:F8"/>
    <mergeCell ref="AJ8:AQ8"/>
    <mergeCell ref="L10:X10"/>
    <mergeCell ref="AA11:AF11"/>
    <mergeCell ref="A16:G16"/>
  </mergeCells>
  <phoneticPr fontId="49"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10D8-CDEF-46EC-A1BF-217465BD6544}">
  <sheetPr codeName="Sheet16">
    <tabColor theme="4" tint="0.59999389629810485"/>
  </sheetPr>
  <dimension ref="B2:L28"/>
  <sheetViews>
    <sheetView zoomScaleNormal="100" workbookViewId="0">
      <selection activeCell="B8" sqref="B8:H13"/>
    </sheetView>
  </sheetViews>
  <sheetFormatPr defaultRowHeight="14.4"/>
  <cols>
    <col min="1" max="16384" width="8.88671875" style="223"/>
  </cols>
  <sheetData>
    <row r="2" spans="2:12">
      <c r="B2" s="967" t="s">
        <v>5585</v>
      </c>
      <c r="C2" s="967"/>
      <c r="D2" s="967"/>
      <c r="E2" s="967"/>
      <c r="F2" s="967"/>
      <c r="G2" s="967"/>
      <c r="H2" s="967"/>
      <c r="I2" s="980" t="s">
        <v>5587</v>
      </c>
      <c r="J2" s="981" t="s">
        <v>5588</v>
      </c>
      <c r="K2" s="981"/>
      <c r="L2" s="981"/>
    </row>
    <row r="3" spans="2:12" ht="14.4" customHeight="1">
      <c r="B3" s="960" t="s">
        <v>5586</v>
      </c>
      <c r="C3" s="960"/>
      <c r="D3" s="960"/>
      <c r="E3" s="960"/>
      <c r="F3" s="960"/>
      <c r="G3" s="960"/>
      <c r="H3" s="960"/>
      <c r="I3" s="980"/>
      <c r="J3" s="981"/>
      <c r="K3" s="981"/>
      <c r="L3" s="981"/>
    </row>
    <row r="4" spans="2:12" ht="14.4" customHeight="1">
      <c r="B4" s="960"/>
      <c r="C4" s="960"/>
      <c r="D4" s="960"/>
      <c r="E4" s="960"/>
      <c r="F4" s="960"/>
      <c r="G4" s="960"/>
      <c r="H4" s="960"/>
      <c r="I4" s="980"/>
      <c r="J4" s="981"/>
      <c r="K4" s="981"/>
      <c r="L4" s="981"/>
    </row>
    <row r="5" spans="2:12" ht="14.4" customHeight="1">
      <c r="B5" s="960"/>
      <c r="C5" s="960"/>
      <c r="D5" s="960"/>
      <c r="E5" s="960"/>
      <c r="F5" s="960"/>
      <c r="G5" s="960"/>
      <c r="H5" s="960"/>
      <c r="I5" s="980"/>
      <c r="J5" s="981"/>
      <c r="K5" s="981"/>
      <c r="L5" s="981"/>
    </row>
    <row r="6" spans="2:12" ht="14.4" customHeight="1">
      <c r="B6" s="960"/>
      <c r="C6" s="960"/>
      <c r="D6" s="960"/>
      <c r="E6" s="960"/>
      <c r="F6" s="960"/>
      <c r="G6" s="960"/>
      <c r="H6" s="960"/>
      <c r="I6" s="980"/>
      <c r="J6" s="981"/>
      <c r="K6" s="981"/>
      <c r="L6" s="981"/>
    </row>
    <row r="7" spans="2:12" ht="14.4" customHeight="1">
      <c r="B7" s="960"/>
      <c r="C7" s="960"/>
      <c r="D7" s="960"/>
      <c r="E7" s="960"/>
      <c r="F7" s="960"/>
      <c r="G7" s="960"/>
      <c r="H7" s="960"/>
      <c r="I7" s="980"/>
      <c r="J7" s="981"/>
      <c r="K7" s="981"/>
      <c r="L7" s="981"/>
    </row>
    <row r="8" spans="2:12">
      <c r="B8" s="971" t="str">
        <f>主要!$AV$1</f>
        <v>.st 力量:10 敏捷:10 体质:10 智力:10 感知:10 魅力:10 hp:0 hpmax:0 先攻:0 ac:10 dc:10 pp:10 熟练:2 运动:0 特技:0 巧手:0 隐匿:0 调查:0 奥秘:0 历史:0 自然:0 宗教:0 察觉:0 洞悉:0 驯兽:0 医疗:0 求生:0 游说:0 欺瞒:0 威吓:0 表演:0</v>
      </c>
      <c r="C8" s="972"/>
      <c r="D8" s="972"/>
      <c r="E8" s="972"/>
      <c r="F8" s="972"/>
      <c r="G8" s="972"/>
      <c r="H8" s="973"/>
      <c r="J8" s="981"/>
      <c r="K8" s="981"/>
      <c r="L8" s="981"/>
    </row>
    <row r="9" spans="2:12">
      <c r="B9" s="974"/>
      <c r="C9" s="975"/>
      <c r="D9" s="975"/>
      <c r="E9" s="975"/>
      <c r="F9" s="975"/>
      <c r="G9" s="975"/>
      <c r="H9" s="976"/>
      <c r="J9" s="981"/>
      <c r="K9" s="981"/>
      <c r="L9" s="981"/>
    </row>
    <row r="10" spans="2:12">
      <c r="B10" s="974"/>
      <c r="C10" s="975"/>
      <c r="D10" s="975"/>
      <c r="E10" s="975"/>
      <c r="F10" s="975"/>
      <c r="G10" s="975"/>
      <c r="H10" s="976"/>
      <c r="J10" s="981"/>
      <c r="K10" s="981"/>
      <c r="L10" s="981"/>
    </row>
    <row r="11" spans="2:12">
      <c r="B11" s="974"/>
      <c r="C11" s="975"/>
      <c r="D11" s="975"/>
      <c r="E11" s="975"/>
      <c r="F11" s="975"/>
      <c r="G11" s="975"/>
      <c r="H11" s="976"/>
      <c r="J11" s="981"/>
      <c r="K11" s="981"/>
      <c r="L11" s="981"/>
    </row>
    <row r="12" spans="2:12">
      <c r="B12" s="974"/>
      <c r="C12" s="975"/>
      <c r="D12" s="975"/>
      <c r="E12" s="975"/>
      <c r="F12" s="975"/>
      <c r="G12" s="975"/>
      <c r="H12" s="976"/>
      <c r="J12" s="981"/>
      <c r="K12" s="981"/>
      <c r="L12" s="981"/>
    </row>
    <row r="13" spans="2:12">
      <c r="B13" s="977"/>
      <c r="C13" s="978"/>
      <c r="D13" s="978"/>
      <c r="E13" s="978"/>
      <c r="F13" s="978"/>
      <c r="G13" s="978"/>
      <c r="H13" s="979"/>
      <c r="J13" s="981"/>
      <c r="K13" s="981"/>
      <c r="L13" s="981"/>
    </row>
    <row r="15" spans="2:12" ht="15.6">
      <c r="B15" s="968" t="s">
        <v>6658</v>
      </c>
      <c r="C15" s="968"/>
      <c r="D15" s="968"/>
      <c r="E15" s="968"/>
      <c r="F15" s="968"/>
      <c r="G15" s="968"/>
      <c r="H15" s="968"/>
      <c r="I15" s="222"/>
      <c r="J15" s="982" t="s">
        <v>5589</v>
      </c>
      <c r="K15" s="983"/>
      <c r="L15" s="984"/>
    </row>
    <row r="16" spans="2:12" ht="15.6">
      <c r="B16" s="969" t="s">
        <v>6659</v>
      </c>
      <c r="C16" s="969"/>
      <c r="D16" s="969"/>
      <c r="E16" s="969"/>
      <c r="F16" s="969"/>
      <c r="G16" s="969"/>
      <c r="H16" s="969"/>
      <c r="I16" s="222"/>
      <c r="J16" s="960" t="s">
        <v>5590</v>
      </c>
      <c r="K16" s="960"/>
      <c r="L16" s="960"/>
    </row>
    <row r="17" spans="2:12">
      <c r="B17" s="970" t="str" cm="1">
        <f t="array" ref="B17">_xlfn.LET(_xlpm.Q,CHAR(34),SUBSTITUTE(SUBSTITUTE(_xlfn.TEXTJOIN("",TRUE,"{",_xlpm.Q,"kind",_xlpm.Q,":",_xlpm.Q,"character",_xlpm.Q,",
",_xlpm.Q,"data",_xlpm.Q,":{",_xlpm.Q,"name",_xlpm.Q,":",_xlpm.Q,主要!E3,_xlpm.Q,",",_xlpm.Q,"playerName",_xlpm.Q,":",_xlpm.Q,主要!E4,_xlpm.Q,",",_xlpm.Q,"initiative",_xlpm.Q,":",主要!D22,",
",_xlpm.Q,"status",_xlpm.Q,":[
{",_xlpm.Q,"label",_xlpm.Q,":",_xlpm.Q,"HP",_xlpm.Q,",",_xlpm.Q,"value",_xlpm.Q,":",_xlpm.Q,主要!R22,_xlpm.Q,",",_xlpm.Q,"max",_xlpm.Q,":",_xlpm.Q,主要!V22,_xlpm.Q,"},
",IF(主要!F81="","",_xlfn.CONCAT("{",_xlpm.Q,"label",_xlpm.Q,":",_xlpm.Q,"MP",_xlpm.Q,",",_xlpm.Q,"value",_xlpm.Q,":",_xlpm.Q,主要!F81,_xlpm.Q,",",_xlpm.Q,"max",_xlpm.Q,":",_xlpm.Q,主要!J81,_xlpm.Q,"},")),"
","{"&amp;_xlpm.Q&amp;"label"&amp;_xlpm.Q&amp;":"&amp;_xlpm.Q&amp;主要!B23:B24&amp;_xlpm.Q&amp;","&amp;_xlpm.Q&amp;"value"&amp;_xlpm.Q&amp;":"&amp;_xlpm.Q&amp;主要!D23:D24&amp;_xlpm.Q&amp;","&amp;_xlpm.Q&amp;"max"&amp;_xlpm.Q&amp;":"&amp;_xlpm.Q&amp;0&amp;_xlpm.Q&amp;"},","
",IF(主要!E72:E80="","","{"&amp;_xlpm.Q&amp;"label"&amp;_xlpm.Q&amp;":"&amp;_xlpm.Q&amp;主要!B72:B80&amp;"环"&amp;_xlpm.Q&amp;","&amp;_xlpm.Q&amp;"value"&amp;_xlpm.Q&amp;":"&amp;_xlpm.Q&amp;主要!E72:E80&amp;_xlpm.Q&amp;","&amp;_xlpm.Q&amp;"max"&amp;_xlpm.Q&amp;":"&amp;_xlpm.Q&amp;主要!H72:H80&amp;_xlpm.Q&amp;"},"),"
",IF(主要!F26:F28="","","{"&amp;_xlpm.Q&amp;"label"&amp;_xlpm.Q&amp;":"&amp;_xlpm.Q&amp;主要!F26:F28&amp;_xlpm.Q&amp;","&amp;_xlpm.Q&amp;"value"&amp;_xlpm.Q&amp;":"&amp;_xlpm.Q&amp;主要!J26:J28&amp;_xlpm.Q&amp;","&amp;_xlpm.Q&amp;"max"&amp;_xlpm.Q&amp;":"&amp;_xlpm.Q&amp;主要!M26:M28&amp;_xlpm.Q&amp;"},"),"
",IF(主要!U26:U28="","","{"&amp;_xlpm.Q&amp;"label"&amp;_xlpm.Q&amp;":"&amp;_xlpm.Q&amp;主要!U26:U28&amp;_xlpm.Q&amp;","&amp;_xlpm.Q&amp;"value"&amp;_xlpm.Q&amp;":"&amp;_xlpm.Q&amp;主要!Y26:Y28&amp;_xlpm.Q&amp;","&amp;_xlpm.Q&amp;"max"&amp;_xlpm.Q&amp;":"&amp;_xlpm.Q&amp;主要!AB26:AB28&amp;_xlpm.Q&amp;"},"),"
",IF(主要!AJ26:AJ28="","","{"&amp;_xlpm.Q&amp;"label"&amp;_xlpm.Q&amp;":"&amp;_xlpm.Q&amp;主要!AJ26:AJ28&amp;_xlpm.Q&amp;","&amp;_xlpm.Q&amp;"value"&amp;_xlpm.Q&amp;":"&amp;_xlpm.Q&amp;主要!AN26:AN28&amp;_xlpm.Q&amp;","&amp;_xlpm.Q&amp;"max"&amp;_xlpm.Q&amp;":"&amp;_xlpm.Q&amp;主要!AQ26:AQ28&amp;_xlpm.Q&amp;"},"),"
],
",_xlpm.Q,"params",_xlpm.Q,":[
{",_xlpm.Q,"label",_xlpm.Q,":",_xlpm.Q,"熟练",_xlpm.Q,",",_xlpm.Q,"value",_xlpm.Q,":",_xlpm.Q,主要!S3,_xlpm.Q,"},
","{"&amp;_xlpm.Q&amp;"label"&amp;_xlpm.Q&amp;":"&amp;_xlpm.Q&amp;主要!C13:C18&amp;_xlpm.Q&amp;","&amp;_xlpm.Q&amp;"value"&amp;_xlpm.Q&amp;":"&amp;_xlpm.Q&amp;主要!R13:R18&amp;_xlpm.Q&amp;"},","
",IF(主要!C41:C62="","","{"&amp;_xlpm.Q&amp;"label"&amp;_xlpm.Q&amp;":"&amp;_xlpm.Q&amp;主要!C41:C62&amp;_xlpm.Q&amp;","&amp;_xlpm.Q&amp;"value"&amp;_xlpm.Q&amp;":"&amp;_xlpm.Q&amp;主要!I41:I62&amp;_xlpm.Q&amp;"},"),"
],
",_xlpm.Q,"faces",_xlpm.Q,":[],",_xlpm.Q,"x",_xlpm.Q,":0,",_xlpm.Q,"y",_xlpm.Q,":0,",_xlpm.Q,"z",_xlpm.Q,":0,",_xlpm.Q,"angle",_xlpm.Q,":0,",_xlpm.Q,"width",_xlpm.Q,":4,",_xlpm.Q,"height",_xlpm.Q,":4,","
",_xlpm.Q,"active",_xlpm.Q,":true,",_xlpm.Q,"secret",_xlpm.Q,":false,",_xlpm.Q,"invisible",_xlpm.Q,":false,",_xlpm.Q,"hideStatus",_xlpm.Q,":false,",_xlpm.Q,"color",_xlpm.Q,":",_xlpm.Q,_xlpm.Q,",",_xlpm.Q,"roomId",_xlpm.Q,":null,","
",_xlpm.Q,"commands",_xlpm.Q,":",_xlpm.Q,_xlpm.Q,",",_xlpm.Q,"speaking",_xlpm.Q,":true}}"),"
",""),",]","]"))</f>
        <v>{"kind":"character","data":{"name":"","playerName":"悲灵","initiative":0,"status":[{"label":"HP","value":"0","max":"0"},{"label":"AC","value":"10","max":"0"},{"label":"DC","value":"10","max":"0"}],"params":[{"label":"熟练","value":"2"},{"label":"力量","value":"0"},{"label":"敏捷","value":"0"},{"label":"体质","value":"0"},{"label":"智力","value":"0"},{"label":"感知","value":"0"},{"label":"魅力","value":"0"},{"label":"运动","value":"0"},{"label":"特技","value":"0"},{"label":"巧手","value":"0"},{"label":"隐匿","value":"0"},{"label":"调查","value":"0"},{"label":"奥秘","value":"0"},{"label":"历史","value":"0"},{"label":"自然","value":"0"},{"label":"宗教","value":"0"},{"label":"察觉","value":"0"},{"label":"洞悉","value":"0"},{"label":"驯养","value":"0"},{"label":"医药","value":"0"},{"label":"生存","value":"0"},{"label":"游说","value":"0"},{"label":"欺瞒","value":"0"},{"label":"威吓","value":"0"},{"label":"表演","value":"0"}],"faces":[],"x":0,"y":0,"z":0,"angle":0,"width":4,"height":4,"active":true,"secret":false,"invisible":false,"hideStatus":false,"color":"","roomId":null,"commands":"","speaking":true}}</v>
      </c>
      <c r="C17" s="970"/>
      <c r="D17" s="970"/>
      <c r="E17" s="970"/>
      <c r="F17" s="970"/>
      <c r="G17" s="970"/>
      <c r="H17" s="970"/>
      <c r="I17" s="222"/>
      <c r="J17" s="961" t="str">
        <f>".nn"&amp;" "&amp;主要!$E$3</f>
        <v xml:space="preserve">.nn </v>
      </c>
      <c r="K17" s="962"/>
      <c r="L17" s="963"/>
    </row>
    <row r="18" spans="2:12">
      <c r="B18" s="970"/>
      <c r="C18" s="970"/>
      <c r="D18" s="970"/>
      <c r="E18" s="970"/>
      <c r="F18" s="970"/>
      <c r="G18" s="970"/>
      <c r="H18" s="970"/>
      <c r="I18" s="222"/>
      <c r="J18" s="964"/>
      <c r="K18" s="965"/>
      <c r="L18" s="966"/>
    </row>
    <row r="19" spans="2:12">
      <c r="B19" s="970"/>
      <c r="C19" s="970"/>
      <c r="D19" s="970"/>
      <c r="E19" s="970"/>
      <c r="F19" s="970"/>
      <c r="G19" s="970"/>
      <c r="H19" s="970"/>
      <c r="I19" s="222"/>
      <c r="J19" s="222"/>
      <c r="K19" s="222"/>
      <c r="L19" s="222"/>
    </row>
    <row r="20" spans="2:12">
      <c r="B20" s="970"/>
      <c r="C20" s="970"/>
      <c r="D20" s="970"/>
      <c r="E20" s="970"/>
      <c r="F20" s="970"/>
      <c r="G20" s="970"/>
      <c r="H20" s="970"/>
      <c r="I20" s="222"/>
      <c r="J20" s="222"/>
      <c r="K20" s="222"/>
      <c r="L20" s="222"/>
    </row>
    <row r="21" spans="2:12">
      <c r="B21" s="970"/>
      <c r="C21" s="970"/>
      <c r="D21" s="970"/>
      <c r="E21" s="970"/>
      <c r="F21" s="970"/>
      <c r="G21" s="970"/>
      <c r="H21" s="970"/>
      <c r="I21" s="222"/>
      <c r="J21" s="222"/>
      <c r="K21" s="222"/>
      <c r="L21" s="222"/>
    </row>
    <row r="22" spans="2:12">
      <c r="B22" s="970"/>
      <c r="C22" s="970"/>
      <c r="D22" s="970"/>
      <c r="E22" s="970"/>
      <c r="F22" s="970"/>
      <c r="G22" s="970"/>
      <c r="H22" s="970"/>
      <c r="I22" s="222"/>
      <c r="J22" s="222"/>
      <c r="K22" s="222"/>
      <c r="L22" s="222"/>
    </row>
    <row r="23" spans="2:12">
      <c r="B23" s="970"/>
      <c r="C23" s="970"/>
      <c r="D23" s="970"/>
      <c r="E23" s="970"/>
      <c r="F23" s="970"/>
      <c r="G23" s="970"/>
      <c r="H23" s="970"/>
      <c r="I23" s="222"/>
      <c r="J23" s="222"/>
      <c r="K23" s="222"/>
      <c r="L23" s="222"/>
    </row>
    <row r="24" spans="2:12">
      <c r="B24" s="970"/>
      <c r="C24" s="970"/>
      <c r="D24" s="970"/>
      <c r="E24" s="970"/>
      <c r="F24" s="970"/>
      <c r="G24" s="970"/>
      <c r="H24" s="970"/>
      <c r="I24" s="222"/>
      <c r="J24" s="222"/>
      <c r="K24" s="222"/>
      <c r="L24" s="222"/>
    </row>
    <row r="25" spans="2:12">
      <c r="B25" s="970"/>
      <c r="C25" s="970"/>
      <c r="D25" s="970"/>
      <c r="E25" s="970"/>
      <c r="F25" s="970"/>
      <c r="G25" s="970"/>
      <c r="H25" s="970"/>
      <c r="I25" s="222"/>
      <c r="J25" s="222"/>
      <c r="K25" s="222"/>
      <c r="L25" s="222"/>
    </row>
    <row r="26" spans="2:12">
      <c r="B26" s="222"/>
      <c r="C26" s="222"/>
      <c r="D26" s="222"/>
      <c r="E26" s="222"/>
      <c r="F26" s="222"/>
      <c r="G26" s="222"/>
      <c r="H26" s="222"/>
      <c r="I26" s="222"/>
      <c r="J26" s="222"/>
      <c r="K26" s="222"/>
      <c r="L26" s="222"/>
    </row>
    <row r="27" spans="2:12">
      <c r="B27" s="222"/>
      <c r="C27" s="222"/>
      <c r="D27" s="222"/>
      <c r="E27" s="222"/>
      <c r="F27" s="222"/>
      <c r="G27" s="222"/>
      <c r="H27" s="222"/>
      <c r="I27" s="222"/>
      <c r="J27" s="222"/>
      <c r="K27" s="222"/>
      <c r="L27" s="222"/>
    </row>
    <row r="28" spans="2:12">
      <c r="B28" s="222"/>
      <c r="C28" s="222"/>
      <c r="D28" s="222"/>
      <c r="E28" s="222"/>
      <c r="F28" s="222"/>
      <c r="G28" s="222"/>
      <c r="H28" s="222"/>
      <c r="I28" s="222"/>
      <c r="J28" s="222"/>
      <c r="K28" s="222"/>
      <c r="L28" s="222"/>
    </row>
  </sheetData>
  <sheetProtection sheet="1" scenarios="1"/>
  <mergeCells count="11">
    <mergeCell ref="J16:L16"/>
    <mergeCell ref="J17:L18"/>
    <mergeCell ref="B2:H2"/>
    <mergeCell ref="B15:H15"/>
    <mergeCell ref="B16:H16"/>
    <mergeCell ref="B17:H25"/>
    <mergeCell ref="B8:H13"/>
    <mergeCell ref="B3:H7"/>
    <mergeCell ref="I2:I7"/>
    <mergeCell ref="J2:L13"/>
    <mergeCell ref="J15:L15"/>
  </mergeCells>
  <phoneticPr fontId="49"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F6E8-4232-4133-9C3E-01DB5F9D8477}">
  <sheetPr codeName="Sheet17">
    <tabColor theme="0" tint="-0.499984740745262"/>
  </sheetPr>
  <dimension ref="B1:AZ63"/>
  <sheetViews>
    <sheetView showGridLines="0" zoomScale="85" zoomScaleNormal="85" workbookViewId="0">
      <selection activeCell="B3" sqref="B3:Z10"/>
    </sheetView>
  </sheetViews>
  <sheetFormatPr defaultColWidth="3.77734375" defaultRowHeight="14.4" customHeight="1"/>
  <cols>
    <col min="1" max="16384" width="3.77734375" style="58"/>
  </cols>
  <sheetData>
    <row r="1" spans="2:52" ht="14.4" customHeight="1">
      <c r="B1" s="997" t="s">
        <v>6475</v>
      </c>
      <c r="C1" s="998"/>
      <c r="D1" s="998"/>
      <c r="E1" s="998"/>
      <c r="F1" s="998"/>
      <c r="G1" s="998"/>
      <c r="H1" s="998"/>
      <c r="I1" s="998"/>
      <c r="J1" s="998"/>
      <c r="K1" s="998"/>
      <c r="L1" s="998"/>
      <c r="M1" s="998"/>
      <c r="N1" s="998"/>
      <c r="O1" s="998"/>
      <c r="P1" s="998"/>
      <c r="Q1" s="998"/>
      <c r="R1" s="998"/>
      <c r="S1" s="998"/>
      <c r="T1" s="998"/>
      <c r="U1" s="998"/>
      <c r="V1" s="998"/>
      <c r="W1" s="998"/>
      <c r="X1" s="998"/>
      <c r="Y1" s="998"/>
      <c r="Z1" s="999"/>
      <c r="AB1" s="985" t="s">
        <v>6475</v>
      </c>
      <c r="AC1" s="986"/>
      <c r="AD1" s="986"/>
      <c r="AE1" s="986"/>
      <c r="AF1" s="986"/>
      <c r="AG1" s="986"/>
      <c r="AH1" s="986"/>
      <c r="AI1" s="986"/>
      <c r="AJ1" s="986"/>
      <c r="AK1" s="986"/>
      <c r="AL1" s="986"/>
      <c r="AM1" s="986"/>
      <c r="AN1" s="986"/>
      <c r="AO1" s="986"/>
      <c r="AP1" s="986"/>
      <c r="AQ1" s="986"/>
      <c r="AR1" s="986"/>
      <c r="AS1" s="986"/>
      <c r="AT1" s="986"/>
      <c r="AU1" s="986"/>
      <c r="AV1" s="986"/>
      <c r="AW1" s="986"/>
      <c r="AX1" s="986"/>
      <c r="AY1" s="986"/>
      <c r="AZ1" s="987"/>
    </row>
    <row r="2" spans="2:52" ht="14.4" customHeight="1">
      <c r="B2" s="997"/>
      <c r="C2" s="998"/>
      <c r="D2" s="998"/>
      <c r="E2" s="998"/>
      <c r="F2" s="998"/>
      <c r="G2" s="998"/>
      <c r="H2" s="998"/>
      <c r="I2" s="998"/>
      <c r="J2" s="998"/>
      <c r="K2" s="998"/>
      <c r="L2" s="998"/>
      <c r="M2" s="998"/>
      <c r="N2" s="998"/>
      <c r="O2" s="998"/>
      <c r="P2" s="998"/>
      <c r="Q2" s="998"/>
      <c r="R2" s="998"/>
      <c r="S2" s="998"/>
      <c r="T2" s="998"/>
      <c r="U2" s="998"/>
      <c r="V2" s="998"/>
      <c r="W2" s="998"/>
      <c r="X2" s="998"/>
      <c r="Y2" s="998"/>
      <c r="Z2" s="999"/>
      <c r="AB2" s="988"/>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90"/>
    </row>
    <row r="3" spans="2:52" ht="14.4" customHeight="1">
      <c r="B3" s="1004" t="s">
        <v>6660</v>
      </c>
      <c r="C3" s="1005"/>
      <c r="D3" s="1005"/>
      <c r="E3" s="1005"/>
      <c r="F3" s="1005"/>
      <c r="G3" s="1005"/>
      <c r="H3" s="1005"/>
      <c r="I3" s="1005"/>
      <c r="J3" s="1005"/>
      <c r="K3" s="1005"/>
      <c r="L3" s="1005"/>
      <c r="M3" s="1005"/>
      <c r="N3" s="1005"/>
      <c r="O3" s="1005"/>
      <c r="P3" s="1005"/>
      <c r="Q3" s="1005"/>
      <c r="R3" s="1005"/>
      <c r="S3" s="1005"/>
      <c r="T3" s="1005"/>
      <c r="U3" s="1005"/>
      <c r="V3" s="1005"/>
      <c r="W3" s="1005"/>
      <c r="X3" s="1005"/>
      <c r="Y3" s="1005"/>
      <c r="Z3" s="1006"/>
      <c r="AB3" s="1004" t="s">
        <v>6655</v>
      </c>
      <c r="AC3" s="1005"/>
      <c r="AD3" s="1005"/>
      <c r="AE3" s="1005"/>
      <c r="AF3" s="1005"/>
      <c r="AG3" s="1005"/>
      <c r="AH3" s="1005"/>
      <c r="AI3" s="1005"/>
      <c r="AJ3" s="1005"/>
      <c r="AK3" s="1005"/>
      <c r="AL3" s="1005"/>
      <c r="AM3" s="1005"/>
      <c r="AN3" s="1005"/>
      <c r="AO3" s="1005"/>
      <c r="AP3" s="1005"/>
      <c r="AQ3" s="1005"/>
      <c r="AR3" s="1005"/>
      <c r="AS3" s="1005"/>
      <c r="AT3" s="1005"/>
      <c r="AU3" s="1005"/>
      <c r="AV3" s="1005"/>
      <c r="AW3" s="1005"/>
      <c r="AX3" s="1005"/>
      <c r="AY3" s="1005"/>
      <c r="AZ3" s="1006"/>
    </row>
    <row r="4" spans="2:52" ht="14.4" customHeight="1">
      <c r="B4" s="1004"/>
      <c r="C4" s="1005"/>
      <c r="D4" s="1005"/>
      <c r="E4" s="1005"/>
      <c r="F4" s="1005"/>
      <c r="G4" s="1005"/>
      <c r="H4" s="1005"/>
      <c r="I4" s="1005"/>
      <c r="J4" s="1005"/>
      <c r="K4" s="1005"/>
      <c r="L4" s="1005"/>
      <c r="M4" s="1005"/>
      <c r="N4" s="1005"/>
      <c r="O4" s="1005"/>
      <c r="P4" s="1005"/>
      <c r="Q4" s="1005"/>
      <c r="R4" s="1005"/>
      <c r="S4" s="1005"/>
      <c r="T4" s="1005"/>
      <c r="U4" s="1005"/>
      <c r="V4" s="1005"/>
      <c r="W4" s="1005"/>
      <c r="X4" s="1005"/>
      <c r="Y4" s="1005"/>
      <c r="Z4" s="1006"/>
      <c r="AB4" s="1004"/>
      <c r="AC4" s="1005"/>
      <c r="AD4" s="1005"/>
      <c r="AE4" s="1005"/>
      <c r="AF4" s="1005"/>
      <c r="AG4" s="1005"/>
      <c r="AH4" s="1005"/>
      <c r="AI4" s="1005"/>
      <c r="AJ4" s="1005"/>
      <c r="AK4" s="1005"/>
      <c r="AL4" s="1005"/>
      <c r="AM4" s="1005"/>
      <c r="AN4" s="1005"/>
      <c r="AO4" s="1005"/>
      <c r="AP4" s="1005"/>
      <c r="AQ4" s="1005"/>
      <c r="AR4" s="1005"/>
      <c r="AS4" s="1005"/>
      <c r="AT4" s="1005"/>
      <c r="AU4" s="1005"/>
      <c r="AV4" s="1005"/>
      <c r="AW4" s="1005"/>
      <c r="AX4" s="1005"/>
      <c r="AY4" s="1005"/>
      <c r="AZ4" s="1006"/>
    </row>
    <row r="5" spans="2:52" ht="14.4" customHeight="1">
      <c r="B5" s="1004"/>
      <c r="C5" s="1005"/>
      <c r="D5" s="1005"/>
      <c r="E5" s="1005"/>
      <c r="F5" s="1005"/>
      <c r="G5" s="1005"/>
      <c r="H5" s="1005"/>
      <c r="I5" s="1005"/>
      <c r="J5" s="1005"/>
      <c r="K5" s="1005"/>
      <c r="L5" s="1005"/>
      <c r="M5" s="1005"/>
      <c r="N5" s="1005"/>
      <c r="O5" s="1005"/>
      <c r="P5" s="1005"/>
      <c r="Q5" s="1005"/>
      <c r="R5" s="1005"/>
      <c r="S5" s="1005"/>
      <c r="T5" s="1005"/>
      <c r="U5" s="1005"/>
      <c r="V5" s="1005"/>
      <c r="W5" s="1005"/>
      <c r="X5" s="1005"/>
      <c r="Y5" s="1005"/>
      <c r="Z5" s="1006"/>
      <c r="AB5" s="1004"/>
      <c r="AC5" s="1005"/>
      <c r="AD5" s="1005"/>
      <c r="AE5" s="1005"/>
      <c r="AF5" s="1005"/>
      <c r="AG5" s="1005"/>
      <c r="AH5" s="1005"/>
      <c r="AI5" s="1005"/>
      <c r="AJ5" s="1005"/>
      <c r="AK5" s="1005"/>
      <c r="AL5" s="1005"/>
      <c r="AM5" s="1005"/>
      <c r="AN5" s="1005"/>
      <c r="AO5" s="1005"/>
      <c r="AP5" s="1005"/>
      <c r="AQ5" s="1005"/>
      <c r="AR5" s="1005"/>
      <c r="AS5" s="1005"/>
      <c r="AT5" s="1005"/>
      <c r="AU5" s="1005"/>
      <c r="AV5" s="1005"/>
      <c r="AW5" s="1005"/>
      <c r="AX5" s="1005"/>
      <c r="AY5" s="1005"/>
      <c r="AZ5" s="1006"/>
    </row>
    <row r="6" spans="2:52" ht="14.4" customHeight="1">
      <c r="B6" s="1004"/>
      <c r="C6" s="1005"/>
      <c r="D6" s="1005"/>
      <c r="E6" s="1005"/>
      <c r="F6" s="1005"/>
      <c r="G6" s="1005"/>
      <c r="H6" s="1005"/>
      <c r="I6" s="1005"/>
      <c r="J6" s="1005"/>
      <c r="K6" s="1005"/>
      <c r="L6" s="1005"/>
      <c r="M6" s="1005"/>
      <c r="N6" s="1005"/>
      <c r="O6" s="1005"/>
      <c r="P6" s="1005"/>
      <c r="Q6" s="1005"/>
      <c r="R6" s="1005"/>
      <c r="S6" s="1005"/>
      <c r="T6" s="1005"/>
      <c r="U6" s="1005"/>
      <c r="V6" s="1005"/>
      <c r="W6" s="1005"/>
      <c r="X6" s="1005"/>
      <c r="Y6" s="1005"/>
      <c r="Z6" s="1006"/>
      <c r="AB6" s="1004"/>
      <c r="AC6" s="1005"/>
      <c r="AD6" s="1005"/>
      <c r="AE6" s="1005"/>
      <c r="AF6" s="1005"/>
      <c r="AG6" s="1005"/>
      <c r="AH6" s="1005"/>
      <c r="AI6" s="1005"/>
      <c r="AJ6" s="1005"/>
      <c r="AK6" s="1005"/>
      <c r="AL6" s="1005"/>
      <c r="AM6" s="1005"/>
      <c r="AN6" s="1005"/>
      <c r="AO6" s="1005"/>
      <c r="AP6" s="1005"/>
      <c r="AQ6" s="1005"/>
      <c r="AR6" s="1005"/>
      <c r="AS6" s="1005"/>
      <c r="AT6" s="1005"/>
      <c r="AU6" s="1005"/>
      <c r="AV6" s="1005"/>
      <c r="AW6" s="1005"/>
      <c r="AX6" s="1005"/>
      <c r="AY6" s="1005"/>
      <c r="AZ6" s="1006"/>
    </row>
    <row r="7" spans="2:52" ht="14.4" customHeight="1">
      <c r="B7" s="1004"/>
      <c r="C7" s="1005"/>
      <c r="D7" s="1005"/>
      <c r="E7" s="1005"/>
      <c r="F7" s="1005"/>
      <c r="G7" s="1005"/>
      <c r="H7" s="1005"/>
      <c r="I7" s="1005"/>
      <c r="J7" s="1005"/>
      <c r="K7" s="1005"/>
      <c r="L7" s="1005"/>
      <c r="M7" s="1005"/>
      <c r="N7" s="1005"/>
      <c r="O7" s="1005"/>
      <c r="P7" s="1005"/>
      <c r="Q7" s="1005"/>
      <c r="R7" s="1005"/>
      <c r="S7" s="1005"/>
      <c r="T7" s="1005"/>
      <c r="U7" s="1005"/>
      <c r="V7" s="1005"/>
      <c r="W7" s="1005"/>
      <c r="X7" s="1005"/>
      <c r="Y7" s="1005"/>
      <c r="Z7" s="1006"/>
      <c r="AB7" s="1004"/>
      <c r="AC7" s="1005"/>
      <c r="AD7" s="1005"/>
      <c r="AE7" s="1005"/>
      <c r="AF7" s="1005"/>
      <c r="AG7" s="1005"/>
      <c r="AH7" s="1005"/>
      <c r="AI7" s="1005"/>
      <c r="AJ7" s="1005"/>
      <c r="AK7" s="1005"/>
      <c r="AL7" s="1005"/>
      <c r="AM7" s="1005"/>
      <c r="AN7" s="1005"/>
      <c r="AO7" s="1005"/>
      <c r="AP7" s="1005"/>
      <c r="AQ7" s="1005"/>
      <c r="AR7" s="1005"/>
      <c r="AS7" s="1005"/>
      <c r="AT7" s="1005"/>
      <c r="AU7" s="1005"/>
      <c r="AV7" s="1005"/>
      <c r="AW7" s="1005"/>
      <c r="AX7" s="1005"/>
      <c r="AY7" s="1005"/>
      <c r="AZ7" s="1006"/>
    </row>
    <row r="8" spans="2:52" ht="14.4" customHeight="1">
      <c r="B8" s="1004"/>
      <c r="C8" s="1005"/>
      <c r="D8" s="1005"/>
      <c r="E8" s="1005"/>
      <c r="F8" s="1005"/>
      <c r="G8" s="1005"/>
      <c r="H8" s="1005"/>
      <c r="I8" s="1005"/>
      <c r="J8" s="1005"/>
      <c r="K8" s="1005"/>
      <c r="L8" s="1005"/>
      <c r="M8" s="1005"/>
      <c r="N8" s="1005"/>
      <c r="O8" s="1005"/>
      <c r="P8" s="1005"/>
      <c r="Q8" s="1005"/>
      <c r="R8" s="1005"/>
      <c r="S8" s="1005"/>
      <c r="T8" s="1005"/>
      <c r="U8" s="1005"/>
      <c r="V8" s="1005"/>
      <c r="W8" s="1005"/>
      <c r="X8" s="1005"/>
      <c r="Y8" s="1005"/>
      <c r="Z8" s="1006"/>
      <c r="AB8" s="1004"/>
      <c r="AC8" s="1005"/>
      <c r="AD8" s="1005"/>
      <c r="AE8" s="1005"/>
      <c r="AF8" s="1005"/>
      <c r="AG8" s="1005"/>
      <c r="AH8" s="1005"/>
      <c r="AI8" s="1005"/>
      <c r="AJ8" s="1005"/>
      <c r="AK8" s="1005"/>
      <c r="AL8" s="1005"/>
      <c r="AM8" s="1005"/>
      <c r="AN8" s="1005"/>
      <c r="AO8" s="1005"/>
      <c r="AP8" s="1005"/>
      <c r="AQ8" s="1005"/>
      <c r="AR8" s="1005"/>
      <c r="AS8" s="1005"/>
      <c r="AT8" s="1005"/>
      <c r="AU8" s="1005"/>
      <c r="AV8" s="1005"/>
      <c r="AW8" s="1005"/>
      <c r="AX8" s="1005"/>
      <c r="AY8" s="1005"/>
      <c r="AZ8" s="1006"/>
    </row>
    <row r="9" spans="2:52" ht="14.4" customHeight="1">
      <c r="B9" s="1004"/>
      <c r="C9" s="1005"/>
      <c r="D9" s="1005"/>
      <c r="E9" s="1005"/>
      <c r="F9" s="1005"/>
      <c r="G9" s="1005"/>
      <c r="H9" s="1005"/>
      <c r="I9" s="1005"/>
      <c r="J9" s="1005"/>
      <c r="K9" s="1005"/>
      <c r="L9" s="1005"/>
      <c r="M9" s="1005"/>
      <c r="N9" s="1005"/>
      <c r="O9" s="1005"/>
      <c r="P9" s="1005"/>
      <c r="Q9" s="1005"/>
      <c r="R9" s="1005"/>
      <c r="S9" s="1005"/>
      <c r="T9" s="1005"/>
      <c r="U9" s="1005"/>
      <c r="V9" s="1005"/>
      <c r="W9" s="1005"/>
      <c r="X9" s="1005"/>
      <c r="Y9" s="1005"/>
      <c r="Z9" s="1006"/>
      <c r="AB9" s="1004"/>
      <c r="AC9" s="1005"/>
      <c r="AD9" s="1005"/>
      <c r="AE9" s="1005"/>
      <c r="AF9" s="1005"/>
      <c r="AG9" s="1005"/>
      <c r="AH9" s="1005"/>
      <c r="AI9" s="1005"/>
      <c r="AJ9" s="1005"/>
      <c r="AK9" s="1005"/>
      <c r="AL9" s="1005"/>
      <c r="AM9" s="1005"/>
      <c r="AN9" s="1005"/>
      <c r="AO9" s="1005"/>
      <c r="AP9" s="1005"/>
      <c r="AQ9" s="1005"/>
      <c r="AR9" s="1005"/>
      <c r="AS9" s="1005"/>
      <c r="AT9" s="1005"/>
      <c r="AU9" s="1005"/>
      <c r="AV9" s="1005"/>
      <c r="AW9" s="1005"/>
      <c r="AX9" s="1005"/>
      <c r="AY9" s="1005"/>
      <c r="AZ9" s="1006"/>
    </row>
    <row r="10" spans="2:52" ht="14.4" customHeight="1">
      <c r="B10" s="1004"/>
      <c r="C10" s="1005"/>
      <c r="D10" s="1005"/>
      <c r="E10" s="1005"/>
      <c r="F10" s="1005"/>
      <c r="G10" s="1005"/>
      <c r="H10" s="1005"/>
      <c r="I10" s="1005"/>
      <c r="J10" s="1005"/>
      <c r="K10" s="1005"/>
      <c r="L10" s="1005"/>
      <c r="M10" s="1005"/>
      <c r="N10" s="1005"/>
      <c r="O10" s="1005"/>
      <c r="P10" s="1005"/>
      <c r="Q10" s="1005"/>
      <c r="R10" s="1005"/>
      <c r="S10" s="1005"/>
      <c r="T10" s="1005"/>
      <c r="U10" s="1005"/>
      <c r="V10" s="1005"/>
      <c r="W10" s="1005"/>
      <c r="X10" s="1005"/>
      <c r="Y10" s="1005"/>
      <c r="Z10" s="1006"/>
      <c r="AB10" s="1004"/>
      <c r="AC10" s="1005"/>
      <c r="AD10" s="1005"/>
      <c r="AE10" s="1005"/>
      <c r="AF10" s="1005"/>
      <c r="AG10" s="1005"/>
      <c r="AH10" s="1005"/>
      <c r="AI10" s="1005"/>
      <c r="AJ10" s="1005"/>
      <c r="AK10" s="1005"/>
      <c r="AL10" s="1005"/>
      <c r="AM10" s="1005"/>
      <c r="AN10" s="1005"/>
      <c r="AO10" s="1005"/>
      <c r="AP10" s="1005"/>
      <c r="AQ10" s="1005"/>
      <c r="AR10" s="1005"/>
      <c r="AS10" s="1005"/>
      <c r="AT10" s="1005"/>
      <c r="AU10" s="1005"/>
      <c r="AV10" s="1005"/>
      <c r="AW10" s="1005"/>
      <c r="AX10" s="1005"/>
      <c r="AY10" s="1005"/>
      <c r="AZ10" s="1006"/>
    </row>
    <row r="11" spans="2:52" ht="14.4" customHeight="1">
      <c r="AB11" s="1004"/>
      <c r="AC11" s="1005"/>
      <c r="AD11" s="1005"/>
      <c r="AE11" s="1005"/>
      <c r="AF11" s="1005"/>
      <c r="AG11" s="1005"/>
      <c r="AH11" s="1005"/>
      <c r="AI11" s="1005"/>
      <c r="AJ11" s="1005"/>
      <c r="AK11" s="1005"/>
      <c r="AL11" s="1005"/>
      <c r="AM11" s="1005"/>
      <c r="AN11" s="1005"/>
      <c r="AO11" s="1005"/>
      <c r="AP11" s="1005"/>
      <c r="AQ11" s="1005"/>
      <c r="AR11" s="1005"/>
      <c r="AS11" s="1005"/>
      <c r="AT11" s="1005"/>
      <c r="AU11" s="1005"/>
      <c r="AV11" s="1005"/>
      <c r="AW11" s="1005"/>
      <c r="AX11" s="1005"/>
      <c r="AY11" s="1005"/>
      <c r="AZ11" s="1006"/>
    </row>
    <row r="12" spans="2:52" ht="14.4" customHeight="1">
      <c r="B12" s="991" t="s">
        <v>5973</v>
      </c>
      <c r="C12" s="992"/>
      <c r="D12" s="992"/>
      <c r="E12" s="992"/>
      <c r="F12" s="992"/>
      <c r="G12" s="992"/>
      <c r="H12" s="992"/>
      <c r="I12" s="992"/>
      <c r="J12" s="992"/>
      <c r="K12" s="992"/>
      <c r="L12" s="992"/>
      <c r="M12" s="993"/>
      <c r="AB12" s="1004"/>
      <c r="AC12" s="1005"/>
      <c r="AD12" s="1005"/>
      <c r="AE12" s="1005"/>
      <c r="AF12" s="1005"/>
      <c r="AG12" s="1005"/>
      <c r="AH12" s="1005"/>
      <c r="AI12" s="1005"/>
      <c r="AJ12" s="1005"/>
      <c r="AK12" s="1005"/>
      <c r="AL12" s="1005"/>
      <c r="AM12" s="1005"/>
      <c r="AN12" s="1005"/>
      <c r="AO12" s="1005"/>
      <c r="AP12" s="1005"/>
      <c r="AQ12" s="1005"/>
      <c r="AR12" s="1005"/>
      <c r="AS12" s="1005"/>
      <c r="AT12" s="1005"/>
      <c r="AU12" s="1005"/>
      <c r="AV12" s="1005"/>
      <c r="AW12" s="1005"/>
      <c r="AX12" s="1005"/>
      <c r="AY12" s="1005"/>
      <c r="AZ12" s="1006"/>
    </row>
    <row r="13" spans="2:52" ht="14.4" customHeight="1">
      <c r="B13" s="994"/>
      <c r="C13" s="995"/>
      <c r="D13" s="995"/>
      <c r="E13" s="995"/>
      <c r="F13" s="995"/>
      <c r="G13" s="995"/>
      <c r="H13" s="995"/>
      <c r="I13" s="995"/>
      <c r="J13" s="995"/>
      <c r="K13" s="995"/>
      <c r="L13" s="995"/>
      <c r="M13" s="996"/>
      <c r="AB13" s="1004"/>
      <c r="AC13" s="1005"/>
      <c r="AD13" s="1005"/>
      <c r="AE13" s="1005"/>
      <c r="AF13" s="1005"/>
      <c r="AG13" s="1005"/>
      <c r="AH13" s="1005"/>
      <c r="AI13" s="1005"/>
      <c r="AJ13" s="1005"/>
      <c r="AK13" s="1005"/>
      <c r="AL13" s="1005"/>
      <c r="AM13" s="1005"/>
      <c r="AN13" s="1005"/>
      <c r="AO13" s="1005"/>
      <c r="AP13" s="1005"/>
      <c r="AQ13" s="1005"/>
      <c r="AR13" s="1005"/>
      <c r="AS13" s="1005"/>
      <c r="AT13" s="1005"/>
      <c r="AU13" s="1005"/>
      <c r="AV13" s="1005"/>
      <c r="AW13" s="1005"/>
      <c r="AX13" s="1005"/>
      <c r="AY13" s="1005"/>
      <c r="AZ13" s="1006"/>
    </row>
    <row r="14" spans="2:52" ht="14.4" customHeight="1">
      <c r="B14" s="1010" t="s">
        <v>5974</v>
      </c>
      <c r="C14" s="1011"/>
      <c r="D14" s="1011"/>
      <c r="E14" s="1011"/>
      <c r="F14" s="1011"/>
      <c r="G14" s="1011"/>
      <c r="H14" s="1011"/>
      <c r="I14" s="1011"/>
      <c r="J14" s="1011"/>
      <c r="K14" s="1011"/>
      <c r="L14" s="1011"/>
      <c r="M14" s="1012"/>
      <c r="AB14" s="1004"/>
      <c r="AC14" s="1005"/>
      <c r="AD14" s="1005"/>
      <c r="AE14" s="1005"/>
      <c r="AF14" s="1005"/>
      <c r="AG14" s="1005"/>
      <c r="AH14" s="1005"/>
      <c r="AI14" s="1005"/>
      <c r="AJ14" s="1005"/>
      <c r="AK14" s="1005"/>
      <c r="AL14" s="1005"/>
      <c r="AM14" s="1005"/>
      <c r="AN14" s="1005"/>
      <c r="AO14" s="1005"/>
      <c r="AP14" s="1005"/>
      <c r="AQ14" s="1005"/>
      <c r="AR14" s="1005"/>
      <c r="AS14" s="1005"/>
      <c r="AT14" s="1005"/>
      <c r="AU14" s="1005"/>
      <c r="AV14" s="1005"/>
      <c r="AW14" s="1005"/>
      <c r="AX14" s="1005"/>
      <c r="AY14" s="1005"/>
      <c r="AZ14" s="1006"/>
    </row>
    <row r="15" spans="2:52" ht="14.4" customHeight="1">
      <c r="B15" s="1010"/>
      <c r="C15" s="1011"/>
      <c r="D15" s="1011"/>
      <c r="E15" s="1011"/>
      <c r="F15" s="1011"/>
      <c r="G15" s="1011"/>
      <c r="H15" s="1011"/>
      <c r="I15" s="1011"/>
      <c r="J15" s="1011"/>
      <c r="K15" s="1011"/>
      <c r="L15" s="1011"/>
      <c r="M15" s="1012"/>
      <c r="AB15" s="1004"/>
      <c r="AC15" s="1005"/>
      <c r="AD15" s="1005"/>
      <c r="AE15" s="1005"/>
      <c r="AF15" s="1005"/>
      <c r="AG15" s="1005"/>
      <c r="AH15" s="1005"/>
      <c r="AI15" s="1005"/>
      <c r="AJ15" s="1005"/>
      <c r="AK15" s="1005"/>
      <c r="AL15" s="1005"/>
      <c r="AM15" s="1005"/>
      <c r="AN15" s="1005"/>
      <c r="AO15" s="1005"/>
      <c r="AP15" s="1005"/>
      <c r="AQ15" s="1005"/>
      <c r="AR15" s="1005"/>
      <c r="AS15" s="1005"/>
      <c r="AT15" s="1005"/>
      <c r="AU15" s="1005"/>
      <c r="AV15" s="1005"/>
      <c r="AW15" s="1005"/>
      <c r="AX15" s="1005"/>
      <c r="AY15" s="1005"/>
      <c r="AZ15" s="1006"/>
    </row>
    <row r="16" spans="2:52" ht="14.4" customHeight="1">
      <c r="B16" s="1007" t="s">
        <v>5975</v>
      </c>
      <c r="C16" s="1008"/>
      <c r="D16" s="1008"/>
      <c r="E16" s="1008"/>
      <c r="F16" s="1008"/>
      <c r="G16" s="1008"/>
      <c r="H16" s="1008"/>
      <c r="I16" s="1008"/>
      <c r="J16" s="1008"/>
      <c r="K16" s="1008"/>
      <c r="L16" s="1008"/>
      <c r="M16" s="1009"/>
      <c r="AB16" s="1004"/>
      <c r="AC16" s="1005"/>
      <c r="AD16" s="1005"/>
      <c r="AE16" s="1005"/>
      <c r="AF16" s="1005"/>
      <c r="AG16" s="1005"/>
      <c r="AH16" s="1005"/>
      <c r="AI16" s="1005"/>
      <c r="AJ16" s="1005"/>
      <c r="AK16" s="1005"/>
      <c r="AL16" s="1005"/>
      <c r="AM16" s="1005"/>
      <c r="AN16" s="1005"/>
      <c r="AO16" s="1005"/>
      <c r="AP16" s="1005"/>
      <c r="AQ16" s="1005"/>
      <c r="AR16" s="1005"/>
      <c r="AS16" s="1005"/>
      <c r="AT16" s="1005"/>
      <c r="AU16" s="1005"/>
      <c r="AV16" s="1005"/>
      <c r="AW16" s="1005"/>
      <c r="AX16" s="1005"/>
      <c r="AY16" s="1005"/>
      <c r="AZ16" s="1006"/>
    </row>
    <row r="17" spans="2:52" ht="14.4" customHeight="1">
      <c r="B17" s="1007"/>
      <c r="C17" s="1008"/>
      <c r="D17" s="1008"/>
      <c r="E17" s="1008"/>
      <c r="F17" s="1008"/>
      <c r="G17" s="1008"/>
      <c r="H17" s="1008"/>
      <c r="I17" s="1008"/>
      <c r="J17" s="1008"/>
      <c r="K17" s="1008"/>
      <c r="L17" s="1008"/>
      <c r="M17" s="1009"/>
      <c r="AB17" s="1004"/>
      <c r="AC17" s="1005"/>
      <c r="AD17" s="1005"/>
      <c r="AE17" s="1005"/>
      <c r="AF17" s="1005"/>
      <c r="AG17" s="1005"/>
      <c r="AH17" s="1005"/>
      <c r="AI17" s="1005"/>
      <c r="AJ17" s="1005"/>
      <c r="AK17" s="1005"/>
      <c r="AL17" s="1005"/>
      <c r="AM17" s="1005"/>
      <c r="AN17" s="1005"/>
      <c r="AO17" s="1005"/>
      <c r="AP17" s="1005"/>
      <c r="AQ17" s="1005"/>
      <c r="AR17" s="1005"/>
      <c r="AS17" s="1005"/>
      <c r="AT17" s="1005"/>
      <c r="AU17" s="1005"/>
      <c r="AV17" s="1005"/>
      <c r="AW17" s="1005"/>
      <c r="AX17" s="1005"/>
      <c r="AY17" s="1005"/>
      <c r="AZ17" s="1006"/>
    </row>
    <row r="18" spans="2:52" ht="14.4" customHeight="1">
      <c r="B18" s="1010" t="s">
        <v>5976</v>
      </c>
      <c r="C18" s="1011"/>
      <c r="D18" s="1011"/>
      <c r="E18" s="1011"/>
      <c r="F18" s="1011"/>
      <c r="G18" s="1011"/>
      <c r="H18" s="1011"/>
      <c r="I18" s="1011"/>
      <c r="J18" s="1011"/>
      <c r="K18" s="1011"/>
      <c r="L18" s="1011"/>
      <c r="M18" s="1012"/>
      <c r="AB18" s="1004"/>
      <c r="AC18" s="1005"/>
      <c r="AD18" s="1005"/>
      <c r="AE18" s="1005"/>
      <c r="AF18" s="1005"/>
      <c r="AG18" s="1005"/>
      <c r="AH18" s="1005"/>
      <c r="AI18" s="1005"/>
      <c r="AJ18" s="1005"/>
      <c r="AK18" s="1005"/>
      <c r="AL18" s="1005"/>
      <c r="AM18" s="1005"/>
      <c r="AN18" s="1005"/>
      <c r="AO18" s="1005"/>
      <c r="AP18" s="1005"/>
      <c r="AQ18" s="1005"/>
      <c r="AR18" s="1005"/>
      <c r="AS18" s="1005"/>
      <c r="AT18" s="1005"/>
      <c r="AU18" s="1005"/>
      <c r="AV18" s="1005"/>
      <c r="AW18" s="1005"/>
      <c r="AX18" s="1005"/>
      <c r="AY18" s="1005"/>
      <c r="AZ18" s="1006"/>
    </row>
    <row r="19" spans="2:52" ht="14.4" customHeight="1">
      <c r="B19" s="1010"/>
      <c r="C19" s="1011"/>
      <c r="D19" s="1011"/>
      <c r="E19" s="1011"/>
      <c r="F19" s="1011"/>
      <c r="G19" s="1011"/>
      <c r="H19" s="1011"/>
      <c r="I19" s="1011"/>
      <c r="J19" s="1011"/>
      <c r="K19" s="1011"/>
      <c r="L19" s="1011"/>
      <c r="M19" s="1012"/>
      <c r="AB19" s="1004"/>
      <c r="AC19" s="1005"/>
      <c r="AD19" s="1005"/>
      <c r="AE19" s="1005"/>
      <c r="AF19" s="1005"/>
      <c r="AG19" s="1005"/>
      <c r="AH19" s="1005"/>
      <c r="AI19" s="1005"/>
      <c r="AJ19" s="1005"/>
      <c r="AK19" s="1005"/>
      <c r="AL19" s="1005"/>
      <c r="AM19" s="1005"/>
      <c r="AN19" s="1005"/>
      <c r="AO19" s="1005"/>
      <c r="AP19" s="1005"/>
      <c r="AQ19" s="1005"/>
      <c r="AR19" s="1005"/>
      <c r="AS19" s="1005"/>
      <c r="AT19" s="1005"/>
      <c r="AU19" s="1005"/>
      <c r="AV19" s="1005"/>
      <c r="AW19" s="1005"/>
      <c r="AX19" s="1005"/>
      <c r="AY19" s="1005"/>
      <c r="AZ19" s="1006"/>
    </row>
    <row r="20" spans="2:52" ht="14.4" customHeight="1">
      <c r="B20" s="1000" t="s">
        <v>2496</v>
      </c>
      <c r="C20" s="1001"/>
      <c r="D20" s="1001"/>
      <c r="E20" s="1001"/>
      <c r="F20" s="1001"/>
      <c r="G20" s="1001"/>
      <c r="H20" s="1001"/>
      <c r="I20" s="1001"/>
      <c r="J20" s="1001"/>
      <c r="K20" s="1001"/>
      <c r="L20" s="1001"/>
      <c r="M20" s="1002"/>
      <c r="AB20" s="1004"/>
      <c r="AC20" s="1005"/>
      <c r="AD20" s="1005"/>
      <c r="AE20" s="1005"/>
      <c r="AF20" s="1005"/>
      <c r="AG20" s="1005"/>
      <c r="AH20" s="1005"/>
      <c r="AI20" s="1005"/>
      <c r="AJ20" s="1005"/>
      <c r="AK20" s="1005"/>
      <c r="AL20" s="1005"/>
      <c r="AM20" s="1005"/>
      <c r="AN20" s="1005"/>
      <c r="AO20" s="1005"/>
      <c r="AP20" s="1005"/>
      <c r="AQ20" s="1005"/>
      <c r="AR20" s="1005"/>
      <c r="AS20" s="1005"/>
      <c r="AT20" s="1005"/>
      <c r="AU20" s="1005"/>
      <c r="AV20" s="1005"/>
      <c r="AW20" s="1005"/>
      <c r="AX20" s="1005"/>
      <c r="AY20" s="1005"/>
      <c r="AZ20" s="1006"/>
    </row>
    <row r="21" spans="2:52" ht="14.4" customHeight="1">
      <c r="B21" s="1003"/>
      <c r="C21" s="1001"/>
      <c r="D21" s="1001"/>
      <c r="E21" s="1001"/>
      <c r="F21" s="1001"/>
      <c r="G21" s="1001"/>
      <c r="H21" s="1001"/>
      <c r="I21" s="1001"/>
      <c r="J21" s="1001"/>
      <c r="K21" s="1001"/>
      <c r="L21" s="1001"/>
      <c r="M21" s="1002"/>
      <c r="AB21" s="1004"/>
      <c r="AC21" s="1005"/>
      <c r="AD21" s="1005"/>
      <c r="AE21" s="1005"/>
      <c r="AF21" s="1005"/>
      <c r="AG21" s="1005"/>
      <c r="AH21" s="1005"/>
      <c r="AI21" s="1005"/>
      <c r="AJ21" s="1005"/>
      <c r="AK21" s="1005"/>
      <c r="AL21" s="1005"/>
      <c r="AM21" s="1005"/>
      <c r="AN21" s="1005"/>
      <c r="AO21" s="1005"/>
      <c r="AP21" s="1005"/>
      <c r="AQ21" s="1005"/>
      <c r="AR21" s="1005"/>
      <c r="AS21" s="1005"/>
      <c r="AT21" s="1005"/>
      <c r="AU21" s="1005"/>
      <c r="AV21" s="1005"/>
      <c r="AW21" s="1005"/>
      <c r="AX21" s="1005"/>
      <c r="AY21" s="1005"/>
      <c r="AZ21" s="1006"/>
    </row>
    <row r="22" spans="2:52" ht="14.4" customHeight="1">
      <c r="B22" s="1003" t="s">
        <v>5977</v>
      </c>
      <c r="C22" s="1001"/>
      <c r="D22" s="1001"/>
      <c r="E22" s="1001"/>
      <c r="F22" s="1001"/>
      <c r="G22" s="1001"/>
      <c r="H22" s="1001"/>
      <c r="I22" s="1001"/>
      <c r="J22" s="1001"/>
      <c r="K22" s="1001"/>
      <c r="L22" s="1001"/>
      <c r="M22" s="1002"/>
      <c r="AB22" s="1004"/>
      <c r="AC22" s="1005"/>
      <c r="AD22" s="1005"/>
      <c r="AE22" s="1005"/>
      <c r="AF22" s="1005"/>
      <c r="AG22" s="1005"/>
      <c r="AH22" s="1005"/>
      <c r="AI22" s="1005"/>
      <c r="AJ22" s="1005"/>
      <c r="AK22" s="1005"/>
      <c r="AL22" s="1005"/>
      <c r="AM22" s="1005"/>
      <c r="AN22" s="1005"/>
      <c r="AO22" s="1005"/>
      <c r="AP22" s="1005"/>
      <c r="AQ22" s="1005"/>
      <c r="AR22" s="1005"/>
      <c r="AS22" s="1005"/>
      <c r="AT22" s="1005"/>
      <c r="AU22" s="1005"/>
      <c r="AV22" s="1005"/>
      <c r="AW22" s="1005"/>
      <c r="AX22" s="1005"/>
      <c r="AY22" s="1005"/>
      <c r="AZ22" s="1006"/>
    </row>
    <row r="23" spans="2:52" ht="14.4" customHeight="1">
      <c r="B23" s="1003"/>
      <c r="C23" s="1001"/>
      <c r="D23" s="1001"/>
      <c r="E23" s="1001"/>
      <c r="F23" s="1001"/>
      <c r="G23" s="1001"/>
      <c r="H23" s="1001"/>
      <c r="I23" s="1001"/>
      <c r="J23" s="1001"/>
      <c r="K23" s="1001"/>
      <c r="L23" s="1001"/>
      <c r="M23" s="1002"/>
      <c r="AB23" s="1004"/>
      <c r="AC23" s="1005"/>
      <c r="AD23" s="1005"/>
      <c r="AE23" s="1005"/>
      <c r="AF23" s="1005"/>
      <c r="AG23" s="1005"/>
      <c r="AH23" s="1005"/>
      <c r="AI23" s="1005"/>
      <c r="AJ23" s="1005"/>
      <c r="AK23" s="1005"/>
      <c r="AL23" s="1005"/>
      <c r="AM23" s="1005"/>
      <c r="AN23" s="1005"/>
      <c r="AO23" s="1005"/>
      <c r="AP23" s="1005"/>
      <c r="AQ23" s="1005"/>
      <c r="AR23" s="1005"/>
      <c r="AS23" s="1005"/>
      <c r="AT23" s="1005"/>
      <c r="AU23" s="1005"/>
      <c r="AV23" s="1005"/>
      <c r="AW23" s="1005"/>
      <c r="AX23" s="1005"/>
      <c r="AY23" s="1005"/>
      <c r="AZ23" s="1006"/>
    </row>
    <row r="24" spans="2:52" ht="14.4" customHeight="1">
      <c r="AB24" s="1004"/>
      <c r="AC24" s="1005"/>
      <c r="AD24" s="1005"/>
      <c r="AE24" s="1005"/>
      <c r="AF24" s="1005"/>
      <c r="AG24" s="1005"/>
      <c r="AH24" s="1005"/>
      <c r="AI24" s="1005"/>
      <c r="AJ24" s="1005"/>
      <c r="AK24" s="1005"/>
      <c r="AL24" s="1005"/>
      <c r="AM24" s="1005"/>
      <c r="AN24" s="1005"/>
      <c r="AO24" s="1005"/>
      <c r="AP24" s="1005"/>
      <c r="AQ24" s="1005"/>
      <c r="AR24" s="1005"/>
      <c r="AS24" s="1005"/>
      <c r="AT24" s="1005"/>
      <c r="AU24" s="1005"/>
      <c r="AV24" s="1005"/>
      <c r="AW24" s="1005"/>
      <c r="AX24" s="1005"/>
      <c r="AY24" s="1005"/>
      <c r="AZ24" s="1006"/>
    </row>
    <row r="25" spans="2:52" ht="14.4" customHeight="1">
      <c r="AB25" s="1004"/>
      <c r="AC25" s="1005"/>
      <c r="AD25" s="1005"/>
      <c r="AE25" s="1005"/>
      <c r="AF25" s="1005"/>
      <c r="AG25" s="1005"/>
      <c r="AH25" s="1005"/>
      <c r="AI25" s="1005"/>
      <c r="AJ25" s="1005"/>
      <c r="AK25" s="1005"/>
      <c r="AL25" s="1005"/>
      <c r="AM25" s="1005"/>
      <c r="AN25" s="1005"/>
      <c r="AO25" s="1005"/>
      <c r="AP25" s="1005"/>
      <c r="AQ25" s="1005"/>
      <c r="AR25" s="1005"/>
      <c r="AS25" s="1005"/>
      <c r="AT25" s="1005"/>
      <c r="AU25" s="1005"/>
      <c r="AV25" s="1005"/>
      <c r="AW25" s="1005"/>
      <c r="AX25" s="1005"/>
      <c r="AY25" s="1005"/>
      <c r="AZ25" s="1006"/>
    </row>
    <row r="26" spans="2:52" ht="14.4" customHeight="1">
      <c r="AB26" s="1004"/>
      <c r="AC26" s="1005"/>
      <c r="AD26" s="1005"/>
      <c r="AE26" s="1005"/>
      <c r="AF26" s="1005"/>
      <c r="AG26" s="1005"/>
      <c r="AH26" s="1005"/>
      <c r="AI26" s="1005"/>
      <c r="AJ26" s="1005"/>
      <c r="AK26" s="1005"/>
      <c r="AL26" s="1005"/>
      <c r="AM26" s="1005"/>
      <c r="AN26" s="1005"/>
      <c r="AO26" s="1005"/>
      <c r="AP26" s="1005"/>
      <c r="AQ26" s="1005"/>
      <c r="AR26" s="1005"/>
      <c r="AS26" s="1005"/>
      <c r="AT26" s="1005"/>
      <c r="AU26" s="1005"/>
      <c r="AV26" s="1005"/>
      <c r="AW26" s="1005"/>
      <c r="AX26" s="1005"/>
      <c r="AY26" s="1005"/>
      <c r="AZ26" s="1006"/>
    </row>
    <row r="27" spans="2:52" ht="14.4" customHeight="1">
      <c r="AB27" s="1004"/>
      <c r="AC27" s="1005"/>
      <c r="AD27" s="1005"/>
      <c r="AE27" s="1005"/>
      <c r="AF27" s="1005"/>
      <c r="AG27" s="1005"/>
      <c r="AH27" s="1005"/>
      <c r="AI27" s="1005"/>
      <c r="AJ27" s="1005"/>
      <c r="AK27" s="1005"/>
      <c r="AL27" s="1005"/>
      <c r="AM27" s="1005"/>
      <c r="AN27" s="1005"/>
      <c r="AO27" s="1005"/>
      <c r="AP27" s="1005"/>
      <c r="AQ27" s="1005"/>
      <c r="AR27" s="1005"/>
      <c r="AS27" s="1005"/>
      <c r="AT27" s="1005"/>
      <c r="AU27" s="1005"/>
      <c r="AV27" s="1005"/>
      <c r="AW27" s="1005"/>
      <c r="AX27" s="1005"/>
      <c r="AY27" s="1005"/>
      <c r="AZ27" s="1006"/>
    </row>
    <row r="28" spans="2:52" ht="14.4" customHeight="1">
      <c r="AB28" s="1004"/>
      <c r="AC28" s="1005"/>
      <c r="AD28" s="1005"/>
      <c r="AE28" s="1005"/>
      <c r="AF28" s="1005"/>
      <c r="AG28" s="1005"/>
      <c r="AH28" s="1005"/>
      <c r="AI28" s="1005"/>
      <c r="AJ28" s="1005"/>
      <c r="AK28" s="1005"/>
      <c r="AL28" s="1005"/>
      <c r="AM28" s="1005"/>
      <c r="AN28" s="1005"/>
      <c r="AO28" s="1005"/>
      <c r="AP28" s="1005"/>
      <c r="AQ28" s="1005"/>
      <c r="AR28" s="1005"/>
      <c r="AS28" s="1005"/>
      <c r="AT28" s="1005"/>
      <c r="AU28" s="1005"/>
      <c r="AV28" s="1005"/>
      <c r="AW28" s="1005"/>
      <c r="AX28" s="1005"/>
      <c r="AY28" s="1005"/>
      <c r="AZ28" s="1006"/>
    </row>
    <row r="29" spans="2:52" ht="14.4" customHeight="1">
      <c r="AB29" s="1004"/>
      <c r="AC29" s="1005"/>
      <c r="AD29" s="1005"/>
      <c r="AE29" s="1005"/>
      <c r="AF29" s="1005"/>
      <c r="AG29" s="1005"/>
      <c r="AH29" s="1005"/>
      <c r="AI29" s="1005"/>
      <c r="AJ29" s="1005"/>
      <c r="AK29" s="1005"/>
      <c r="AL29" s="1005"/>
      <c r="AM29" s="1005"/>
      <c r="AN29" s="1005"/>
      <c r="AO29" s="1005"/>
      <c r="AP29" s="1005"/>
      <c r="AQ29" s="1005"/>
      <c r="AR29" s="1005"/>
      <c r="AS29" s="1005"/>
      <c r="AT29" s="1005"/>
      <c r="AU29" s="1005"/>
      <c r="AV29" s="1005"/>
      <c r="AW29" s="1005"/>
      <c r="AX29" s="1005"/>
      <c r="AY29" s="1005"/>
      <c r="AZ29" s="1006"/>
    </row>
    <row r="30" spans="2:52" ht="14.4" customHeight="1">
      <c r="AB30" s="1004"/>
      <c r="AC30" s="1005"/>
      <c r="AD30" s="1005"/>
      <c r="AE30" s="1005"/>
      <c r="AF30" s="1005"/>
      <c r="AG30" s="1005"/>
      <c r="AH30" s="1005"/>
      <c r="AI30" s="1005"/>
      <c r="AJ30" s="1005"/>
      <c r="AK30" s="1005"/>
      <c r="AL30" s="1005"/>
      <c r="AM30" s="1005"/>
      <c r="AN30" s="1005"/>
      <c r="AO30" s="1005"/>
      <c r="AP30" s="1005"/>
      <c r="AQ30" s="1005"/>
      <c r="AR30" s="1005"/>
      <c r="AS30" s="1005"/>
      <c r="AT30" s="1005"/>
      <c r="AU30" s="1005"/>
      <c r="AV30" s="1005"/>
      <c r="AW30" s="1005"/>
      <c r="AX30" s="1005"/>
      <c r="AY30" s="1005"/>
      <c r="AZ30" s="1006"/>
    </row>
    <row r="31" spans="2:52" ht="14.4" customHeight="1">
      <c r="AB31" s="1004"/>
      <c r="AC31" s="1005"/>
      <c r="AD31" s="1005"/>
      <c r="AE31" s="1005"/>
      <c r="AF31" s="1005"/>
      <c r="AG31" s="1005"/>
      <c r="AH31" s="1005"/>
      <c r="AI31" s="1005"/>
      <c r="AJ31" s="1005"/>
      <c r="AK31" s="1005"/>
      <c r="AL31" s="1005"/>
      <c r="AM31" s="1005"/>
      <c r="AN31" s="1005"/>
      <c r="AO31" s="1005"/>
      <c r="AP31" s="1005"/>
      <c r="AQ31" s="1005"/>
      <c r="AR31" s="1005"/>
      <c r="AS31" s="1005"/>
      <c r="AT31" s="1005"/>
      <c r="AU31" s="1005"/>
      <c r="AV31" s="1005"/>
      <c r="AW31" s="1005"/>
      <c r="AX31" s="1005"/>
      <c r="AY31" s="1005"/>
      <c r="AZ31" s="1006"/>
    </row>
    <row r="32" spans="2:52" ht="14.4" customHeight="1">
      <c r="AB32" s="1004"/>
      <c r="AC32" s="1005"/>
      <c r="AD32" s="1005"/>
      <c r="AE32" s="1005"/>
      <c r="AF32" s="1005"/>
      <c r="AG32" s="1005"/>
      <c r="AH32" s="1005"/>
      <c r="AI32" s="1005"/>
      <c r="AJ32" s="1005"/>
      <c r="AK32" s="1005"/>
      <c r="AL32" s="1005"/>
      <c r="AM32" s="1005"/>
      <c r="AN32" s="1005"/>
      <c r="AO32" s="1005"/>
      <c r="AP32" s="1005"/>
      <c r="AQ32" s="1005"/>
      <c r="AR32" s="1005"/>
      <c r="AS32" s="1005"/>
      <c r="AT32" s="1005"/>
      <c r="AU32" s="1005"/>
      <c r="AV32" s="1005"/>
      <c r="AW32" s="1005"/>
      <c r="AX32" s="1005"/>
      <c r="AY32" s="1005"/>
      <c r="AZ32" s="1006"/>
    </row>
    <row r="33" spans="28:52" ht="14.4" customHeight="1">
      <c r="AB33" s="1004"/>
      <c r="AC33" s="1005"/>
      <c r="AD33" s="1005"/>
      <c r="AE33" s="1005"/>
      <c r="AF33" s="1005"/>
      <c r="AG33" s="1005"/>
      <c r="AH33" s="1005"/>
      <c r="AI33" s="1005"/>
      <c r="AJ33" s="1005"/>
      <c r="AK33" s="1005"/>
      <c r="AL33" s="1005"/>
      <c r="AM33" s="1005"/>
      <c r="AN33" s="1005"/>
      <c r="AO33" s="1005"/>
      <c r="AP33" s="1005"/>
      <c r="AQ33" s="1005"/>
      <c r="AR33" s="1005"/>
      <c r="AS33" s="1005"/>
      <c r="AT33" s="1005"/>
      <c r="AU33" s="1005"/>
      <c r="AV33" s="1005"/>
      <c r="AW33" s="1005"/>
      <c r="AX33" s="1005"/>
      <c r="AY33" s="1005"/>
      <c r="AZ33" s="1006"/>
    </row>
    <row r="34" spans="28:52" ht="14.4" customHeight="1">
      <c r="AB34" s="1004"/>
      <c r="AC34" s="1005"/>
      <c r="AD34" s="1005"/>
      <c r="AE34" s="1005"/>
      <c r="AF34" s="1005"/>
      <c r="AG34" s="1005"/>
      <c r="AH34" s="1005"/>
      <c r="AI34" s="1005"/>
      <c r="AJ34" s="1005"/>
      <c r="AK34" s="1005"/>
      <c r="AL34" s="1005"/>
      <c r="AM34" s="1005"/>
      <c r="AN34" s="1005"/>
      <c r="AO34" s="1005"/>
      <c r="AP34" s="1005"/>
      <c r="AQ34" s="1005"/>
      <c r="AR34" s="1005"/>
      <c r="AS34" s="1005"/>
      <c r="AT34" s="1005"/>
      <c r="AU34" s="1005"/>
      <c r="AV34" s="1005"/>
      <c r="AW34" s="1005"/>
      <c r="AX34" s="1005"/>
      <c r="AY34" s="1005"/>
      <c r="AZ34" s="1006"/>
    </row>
    <row r="35" spans="28:52" ht="14.4" customHeight="1">
      <c r="AB35" s="1004"/>
      <c r="AC35" s="1005"/>
      <c r="AD35" s="1005"/>
      <c r="AE35" s="1005"/>
      <c r="AF35" s="1005"/>
      <c r="AG35" s="1005"/>
      <c r="AH35" s="1005"/>
      <c r="AI35" s="1005"/>
      <c r="AJ35" s="1005"/>
      <c r="AK35" s="1005"/>
      <c r="AL35" s="1005"/>
      <c r="AM35" s="1005"/>
      <c r="AN35" s="1005"/>
      <c r="AO35" s="1005"/>
      <c r="AP35" s="1005"/>
      <c r="AQ35" s="1005"/>
      <c r="AR35" s="1005"/>
      <c r="AS35" s="1005"/>
      <c r="AT35" s="1005"/>
      <c r="AU35" s="1005"/>
      <c r="AV35" s="1005"/>
      <c r="AW35" s="1005"/>
      <c r="AX35" s="1005"/>
      <c r="AY35" s="1005"/>
      <c r="AZ35" s="1006"/>
    </row>
    <row r="36" spans="28:52" ht="14.4" customHeight="1">
      <c r="AB36" s="1004"/>
      <c r="AC36" s="1005"/>
      <c r="AD36" s="1005"/>
      <c r="AE36" s="1005"/>
      <c r="AF36" s="1005"/>
      <c r="AG36" s="1005"/>
      <c r="AH36" s="1005"/>
      <c r="AI36" s="1005"/>
      <c r="AJ36" s="1005"/>
      <c r="AK36" s="1005"/>
      <c r="AL36" s="1005"/>
      <c r="AM36" s="1005"/>
      <c r="AN36" s="1005"/>
      <c r="AO36" s="1005"/>
      <c r="AP36" s="1005"/>
      <c r="AQ36" s="1005"/>
      <c r="AR36" s="1005"/>
      <c r="AS36" s="1005"/>
      <c r="AT36" s="1005"/>
      <c r="AU36" s="1005"/>
      <c r="AV36" s="1005"/>
      <c r="AW36" s="1005"/>
      <c r="AX36" s="1005"/>
      <c r="AY36" s="1005"/>
      <c r="AZ36" s="1006"/>
    </row>
    <row r="37" spans="28:52" ht="14.4" customHeight="1">
      <c r="AB37" s="1004"/>
      <c r="AC37" s="1005"/>
      <c r="AD37" s="1005"/>
      <c r="AE37" s="1005"/>
      <c r="AF37" s="1005"/>
      <c r="AG37" s="1005"/>
      <c r="AH37" s="1005"/>
      <c r="AI37" s="1005"/>
      <c r="AJ37" s="1005"/>
      <c r="AK37" s="1005"/>
      <c r="AL37" s="1005"/>
      <c r="AM37" s="1005"/>
      <c r="AN37" s="1005"/>
      <c r="AO37" s="1005"/>
      <c r="AP37" s="1005"/>
      <c r="AQ37" s="1005"/>
      <c r="AR37" s="1005"/>
      <c r="AS37" s="1005"/>
      <c r="AT37" s="1005"/>
      <c r="AU37" s="1005"/>
      <c r="AV37" s="1005"/>
      <c r="AW37" s="1005"/>
      <c r="AX37" s="1005"/>
      <c r="AY37" s="1005"/>
      <c r="AZ37" s="1006"/>
    </row>
    <row r="38" spans="28:52" ht="14.4" customHeight="1">
      <c r="AB38" s="1004"/>
      <c r="AC38" s="1005"/>
      <c r="AD38" s="1005"/>
      <c r="AE38" s="1005"/>
      <c r="AF38" s="1005"/>
      <c r="AG38" s="1005"/>
      <c r="AH38" s="1005"/>
      <c r="AI38" s="1005"/>
      <c r="AJ38" s="1005"/>
      <c r="AK38" s="1005"/>
      <c r="AL38" s="1005"/>
      <c r="AM38" s="1005"/>
      <c r="AN38" s="1005"/>
      <c r="AO38" s="1005"/>
      <c r="AP38" s="1005"/>
      <c r="AQ38" s="1005"/>
      <c r="AR38" s="1005"/>
      <c r="AS38" s="1005"/>
      <c r="AT38" s="1005"/>
      <c r="AU38" s="1005"/>
      <c r="AV38" s="1005"/>
      <c r="AW38" s="1005"/>
      <c r="AX38" s="1005"/>
      <c r="AY38" s="1005"/>
      <c r="AZ38" s="1006"/>
    </row>
    <row r="39" spans="28:52" ht="14.4" customHeight="1">
      <c r="AB39" s="1004"/>
      <c r="AC39" s="1005"/>
      <c r="AD39" s="1005"/>
      <c r="AE39" s="1005"/>
      <c r="AF39" s="1005"/>
      <c r="AG39" s="1005"/>
      <c r="AH39" s="1005"/>
      <c r="AI39" s="1005"/>
      <c r="AJ39" s="1005"/>
      <c r="AK39" s="1005"/>
      <c r="AL39" s="1005"/>
      <c r="AM39" s="1005"/>
      <c r="AN39" s="1005"/>
      <c r="AO39" s="1005"/>
      <c r="AP39" s="1005"/>
      <c r="AQ39" s="1005"/>
      <c r="AR39" s="1005"/>
      <c r="AS39" s="1005"/>
      <c r="AT39" s="1005"/>
      <c r="AU39" s="1005"/>
      <c r="AV39" s="1005"/>
      <c r="AW39" s="1005"/>
      <c r="AX39" s="1005"/>
      <c r="AY39" s="1005"/>
      <c r="AZ39" s="1006"/>
    </row>
    <row r="40" spans="28:52" ht="14.4" customHeight="1">
      <c r="AB40" s="1004"/>
      <c r="AC40" s="1005"/>
      <c r="AD40" s="1005"/>
      <c r="AE40" s="1005"/>
      <c r="AF40" s="1005"/>
      <c r="AG40" s="1005"/>
      <c r="AH40" s="1005"/>
      <c r="AI40" s="1005"/>
      <c r="AJ40" s="1005"/>
      <c r="AK40" s="1005"/>
      <c r="AL40" s="1005"/>
      <c r="AM40" s="1005"/>
      <c r="AN40" s="1005"/>
      <c r="AO40" s="1005"/>
      <c r="AP40" s="1005"/>
      <c r="AQ40" s="1005"/>
      <c r="AR40" s="1005"/>
      <c r="AS40" s="1005"/>
      <c r="AT40" s="1005"/>
      <c r="AU40" s="1005"/>
      <c r="AV40" s="1005"/>
      <c r="AW40" s="1005"/>
      <c r="AX40" s="1005"/>
      <c r="AY40" s="1005"/>
      <c r="AZ40" s="1006"/>
    </row>
    <row r="41" spans="28:52" ht="14.4" customHeight="1">
      <c r="AB41" s="1004"/>
      <c r="AC41" s="1005"/>
      <c r="AD41" s="1005"/>
      <c r="AE41" s="1005"/>
      <c r="AF41" s="1005"/>
      <c r="AG41" s="1005"/>
      <c r="AH41" s="1005"/>
      <c r="AI41" s="1005"/>
      <c r="AJ41" s="1005"/>
      <c r="AK41" s="1005"/>
      <c r="AL41" s="1005"/>
      <c r="AM41" s="1005"/>
      <c r="AN41" s="1005"/>
      <c r="AO41" s="1005"/>
      <c r="AP41" s="1005"/>
      <c r="AQ41" s="1005"/>
      <c r="AR41" s="1005"/>
      <c r="AS41" s="1005"/>
      <c r="AT41" s="1005"/>
      <c r="AU41" s="1005"/>
      <c r="AV41" s="1005"/>
      <c r="AW41" s="1005"/>
      <c r="AX41" s="1005"/>
      <c r="AY41" s="1005"/>
      <c r="AZ41" s="1006"/>
    </row>
    <row r="42" spans="28:52" ht="14.4" customHeight="1">
      <c r="AB42" s="1004"/>
      <c r="AC42" s="1005"/>
      <c r="AD42" s="1005"/>
      <c r="AE42" s="1005"/>
      <c r="AF42" s="1005"/>
      <c r="AG42" s="1005"/>
      <c r="AH42" s="1005"/>
      <c r="AI42" s="1005"/>
      <c r="AJ42" s="1005"/>
      <c r="AK42" s="1005"/>
      <c r="AL42" s="1005"/>
      <c r="AM42" s="1005"/>
      <c r="AN42" s="1005"/>
      <c r="AO42" s="1005"/>
      <c r="AP42" s="1005"/>
      <c r="AQ42" s="1005"/>
      <c r="AR42" s="1005"/>
      <c r="AS42" s="1005"/>
      <c r="AT42" s="1005"/>
      <c r="AU42" s="1005"/>
      <c r="AV42" s="1005"/>
      <c r="AW42" s="1005"/>
      <c r="AX42" s="1005"/>
      <c r="AY42" s="1005"/>
      <c r="AZ42" s="1006"/>
    </row>
    <row r="43" spans="28:52" ht="14.4" customHeight="1">
      <c r="AB43" s="1004"/>
      <c r="AC43" s="1005"/>
      <c r="AD43" s="1005"/>
      <c r="AE43" s="1005"/>
      <c r="AF43" s="1005"/>
      <c r="AG43" s="1005"/>
      <c r="AH43" s="1005"/>
      <c r="AI43" s="1005"/>
      <c r="AJ43" s="1005"/>
      <c r="AK43" s="1005"/>
      <c r="AL43" s="1005"/>
      <c r="AM43" s="1005"/>
      <c r="AN43" s="1005"/>
      <c r="AO43" s="1005"/>
      <c r="AP43" s="1005"/>
      <c r="AQ43" s="1005"/>
      <c r="AR43" s="1005"/>
      <c r="AS43" s="1005"/>
      <c r="AT43" s="1005"/>
      <c r="AU43" s="1005"/>
      <c r="AV43" s="1005"/>
      <c r="AW43" s="1005"/>
      <c r="AX43" s="1005"/>
      <c r="AY43" s="1005"/>
      <c r="AZ43" s="1006"/>
    </row>
    <row r="44" spans="28:52" ht="14.4" customHeight="1">
      <c r="AB44" s="1004"/>
      <c r="AC44" s="1005"/>
      <c r="AD44" s="1005"/>
      <c r="AE44" s="1005"/>
      <c r="AF44" s="1005"/>
      <c r="AG44" s="1005"/>
      <c r="AH44" s="1005"/>
      <c r="AI44" s="1005"/>
      <c r="AJ44" s="1005"/>
      <c r="AK44" s="1005"/>
      <c r="AL44" s="1005"/>
      <c r="AM44" s="1005"/>
      <c r="AN44" s="1005"/>
      <c r="AO44" s="1005"/>
      <c r="AP44" s="1005"/>
      <c r="AQ44" s="1005"/>
      <c r="AR44" s="1005"/>
      <c r="AS44" s="1005"/>
      <c r="AT44" s="1005"/>
      <c r="AU44" s="1005"/>
      <c r="AV44" s="1005"/>
      <c r="AW44" s="1005"/>
      <c r="AX44" s="1005"/>
      <c r="AY44" s="1005"/>
      <c r="AZ44" s="1006"/>
    </row>
    <row r="45" spans="28:52" ht="14.4" customHeight="1">
      <c r="AB45" s="1004"/>
      <c r="AC45" s="1005"/>
      <c r="AD45" s="1005"/>
      <c r="AE45" s="1005"/>
      <c r="AF45" s="1005"/>
      <c r="AG45" s="1005"/>
      <c r="AH45" s="1005"/>
      <c r="AI45" s="1005"/>
      <c r="AJ45" s="1005"/>
      <c r="AK45" s="1005"/>
      <c r="AL45" s="1005"/>
      <c r="AM45" s="1005"/>
      <c r="AN45" s="1005"/>
      <c r="AO45" s="1005"/>
      <c r="AP45" s="1005"/>
      <c r="AQ45" s="1005"/>
      <c r="AR45" s="1005"/>
      <c r="AS45" s="1005"/>
      <c r="AT45" s="1005"/>
      <c r="AU45" s="1005"/>
      <c r="AV45" s="1005"/>
      <c r="AW45" s="1005"/>
      <c r="AX45" s="1005"/>
      <c r="AY45" s="1005"/>
      <c r="AZ45" s="1006"/>
    </row>
    <row r="46" spans="28:52" ht="14.4" customHeight="1">
      <c r="AB46" s="1004"/>
      <c r="AC46" s="1005"/>
      <c r="AD46" s="1005"/>
      <c r="AE46" s="1005"/>
      <c r="AF46" s="1005"/>
      <c r="AG46" s="1005"/>
      <c r="AH46" s="1005"/>
      <c r="AI46" s="1005"/>
      <c r="AJ46" s="1005"/>
      <c r="AK46" s="1005"/>
      <c r="AL46" s="1005"/>
      <c r="AM46" s="1005"/>
      <c r="AN46" s="1005"/>
      <c r="AO46" s="1005"/>
      <c r="AP46" s="1005"/>
      <c r="AQ46" s="1005"/>
      <c r="AR46" s="1005"/>
      <c r="AS46" s="1005"/>
      <c r="AT46" s="1005"/>
      <c r="AU46" s="1005"/>
      <c r="AV46" s="1005"/>
      <c r="AW46" s="1005"/>
      <c r="AX46" s="1005"/>
      <c r="AY46" s="1005"/>
      <c r="AZ46" s="1006"/>
    </row>
    <row r="47" spans="28:52" ht="14.4" customHeight="1">
      <c r="AB47" s="1004"/>
      <c r="AC47" s="1005"/>
      <c r="AD47" s="1005"/>
      <c r="AE47" s="1005"/>
      <c r="AF47" s="1005"/>
      <c r="AG47" s="1005"/>
      <c r="AH47" s="1005"/>
      <c r="AI47" s="1005"/>
      <c r="AJ47" s="1005"/>
      <c r="AK47" s="1005"/>
      <c r="AL47" s="1005"/>
      <c r="AM47" s="1005"/>
      <c r="AN47" s="1005"/>
      <c r="AO47" s="1005"/>
      <c r="AP47" s="1005"/>
      <c r="AQ47" s="1005"/>
      <c r="AR47" s="1005"/>
      <c r="AS47" s="1005"/>
      <c r="AT47" s="1005"/>
      <c r="AU47" s="1005"/>
      <c r="AV47" s="1005"/>
      <c r="AW47" s="1005"/>
      <c r="AX47" s="1005"/>
      <c r="AY47" s="1005"/>
      <c r="AZ47" s="1006"/>
    </row>
    <row r="48" spans="28:52" ht="14.4" customHeight="1">
      <c r="AB48" s="1004"/>
      <c r="AC48" s="1005"/>
      <c r="AD48" s="1005"/>
      <c r="AE48" s="1005"/>
      <c r="AF48" s="1005"/>
      <c r="AG48" s="1005"/>
      <c r="AH48" s="1005"/>
      <c r="AI48" s="1005"/>
      <c r="AJ48" s="1005"/>
      <c r="AK48" s="1005"/>
      <c r="AL48" s="1005"/>
      <c r="AM48" s="1005"/>
      <c r="AN48" s="1005"/>
      <c r="AO48" s="1005"/>
      <c r="AP48" s="1005"/>
      <c r="AQ48" s="1005"/>
      <c r="AR48" s="1005"/>
      <c r="AS48" s="1005"/>
      <c r="AT48" s="1005"/>
      <c r="AU48" s="1005"/>
      <c r="AV48" s="1005"/>
      <c r="AW48" s="1005"/>
      <c r="AX48" s="1005"/>
      <c r="AY48" s="1005"/>
      <c r="AZ48" s="1006"/>
    </row>
    <row r="49" spans="28:52" ht="14.4" customHeight="1">
      <c r="AB49" s="1004"/>
      <c r="AC49" s="1005"/>
      <c r="AD49" s="1005"/>
      <c r="AE49" s="1005"/>
      <c r="AF49" s="1005"/>
      <c r="AG49" s="1005"/>
      <c r="AH49" s="1005"/>
      <c r="AI49" s="1005"/>
      <c r="AJ49" s="1005"/>
      <c r="AK49" s="1005"/>
      <c r="AL49" s="1005"/>
      <c r="AM49" s="1005"/>
      <c r="AN49" s="1005"/>
      <c r="AO49" s="1005"/>
      <c r="AP49" s="1005"/>
      <c r="AQ49" s="1005"/>
      <c r="AR49" s="1005"/>
      <c r="AS49" s="1005"/>
      <c r="AT49" s="1005"/>
      <c r="AU49" s="1005"/>
      <c r="AV49" s="1005"/>
      <c r="AW49" s="1005"/>
      <c r="AX49" s="1005"/>
      <c r="AY49" s="1005"/>
      <c r="AZ49" s="1006"/>
    </row>
    <row r="50" spans="28:52" ht="14.4" customHeight="1">
      <c r="AB50" s="1004"/>
      <c r="AC50" s="1005"/>
      <c r="AD50" s="1005"/>
      <c r="AE50" s="1005"/>
      <c r="AF50" s="1005"/>
      <c r="AG50" s="1005"/>
      <c r="AH50" s="1005"/>
      <c r="AI50" s="1005"/>
      <c r="AJ50" s="1005"/>
      <c r="AK50" s="1005"/>
      <c r="AL50" s="1005"/>
      <c r="AM50" s="1005"/>
      <c r="AN50" s="1005"/>
      <c r="AO50" s="1005"/>
      <c r="AP50" s="1005"/>
      <c r="AQ50" s="1005"/>
      <c r="AR50" s="1005"/>
      <c r="AS50" s="1005"/>
      <c r="AT50" s="1005"/>
      <c r="AU50" s="1005"/>
      <c r="AV50" s="1005"/>
      <c r="AW50" s="1005"/>
      <c r="AX50" s="1005"/>
      <c r="AY50" s="1005"/>
      <c r="AZ50" s="1006"/>
    </row>
    <row r="51" spans="28:52" ht="14.4" customHeight="1">
      <c r="AB51" s="1004"/>
      <c r="AC51" s="1005"/>
      <c r="AD51" s="1005"/>
      <c r="AE51" s="1005"/>
      <c r="AF51" s="1005"/>
      <c r="AG51" s="1005"/>
      <c r="AH51" s="1005"/>
      <c r="AI51" s="1005"/>
      <c r="AJ51" s="1005"/>
      <c r="AK51" s="1005"/>
      <c r="AL51" s="1005"/>
      <c r="AM51" s="1005"/>
      <c r="AN51" s="1005"/>
      <c r="AO51" s="1005"/>
      <c r="AP51" s="1005"/>
      <c r="AQ51" s="1005"/>
      <c r="AR51" s="1005"/>
      <c r="AS51" s="1005"/>
      <c r="AT51" s="1005"/>
      <c r="AU51" s="1005"/>
      <c r="AV51" s="1005"/>
      <c r="AW51" s="1005"/>
      <c r="AX51" s="1005"/>
      <c r="AY51" s="1005"/>
      <c r="AZ51" s="1006"/>
    </row>
    <row r="52" spans="28:52" ht="14.4" customHeight="1">
      <c r="AB52" s="1004"/>
      <c r="AC52" s="1005"/>
      <c r="AD52" s="1005"/>
      <c r="AE52" s="1005"/>
      <c r="AF52" s="1005"/>
      <c r="AG52" s="1005"/>
      <c r="AH52" s="1005"/>
      <c r="AI52" s="1005"/>
      <c r="AJ52" s="1005"/>
      <c r="AK52" s="1005"/>
      <c r="AL52" s="1005"/>
      <c r="AM52" s="1005"/>
      <c r="AN52" s="1005"/>
      <c r="AO52" s="1005"/>
      <c r="AP52" s="1005"/>
      <c r="AQ52" s="1005"/>
      <c r="AR52" s="1005"/>
      <c r="AS52" s="1005"/>
      <c r="AT52" s="1005"/>
      <c r="AU52" s="1005"/>
      <c r="AV52" s="1005"/>
      <c r="AW52" s="1005"/>
      <c r="AX52" s="1005"/>
      <c r="AY52" s="1005"/>
      <c r="AZ52" s="1006"/>
    </row>
    <row r="53" spans="28:52" ht="14.4" customHeight="1">
      <c r="AB53" s="1004"/>
      <c r="AC53" s="1005"/>
      <c r="AD53" s="1005"/>
      <c r="AE53" s="1005"/>
      <c r="AF53" s="1005"/>
      <c r="AG53" s="1005"/>
      <c r="AH53" s="1005"/>
      <c r="AI53" s="1005"/>
      <c r="AJ53" s="1005"/>
      <c r="AK53" s="1005"/>
      <c r="AL53" s="1005"/>
      <c r="AM53" s="1005"/>
      <c r="AN53" s="1005"/>
      <c r="AO53" s="1005"/>
      <c r="AP53" s="1005"/>
      <c r="AQ53" s="1005"/>
      <c r="AR53" s="1005"/>
      <c r="AS53" s="1005"/>
      <c r="AT53" s="1005"/>
      <c r="AU53" s="1005"/>
      <c r="AV53" s="1005"/>
      <c r="AW53" s="1005"/>
      <c r="AX53" s="1005"/>
      <c r="AY53" s="1005"/>
      <c r="AZ53" s="1006"/>
    </row>
    <row r="54" spans="28:52" ht="14.4" customHeight="1">
      <c r="AB54" s="1004"/>
      <c r="AC54" s="1005"/>
      <c r="AD54" s="1005"/>
      <c r="AE54" s="1005"/>
      <c r="AF54" s="1005"/>
      <c r="AG54" s="1005"/>
      <c r="AH54" s="1005"/>
      <c r="AI54" s="1005"/>
      <c r="AJ54" s="1005"/>
      <c r="AK54" s="1005"/>
      <c r="AL54" s="1005"/>
      <c r="AM54" s="1005"/>
      <c r="AN54" s="1005"/>
      <c r="AO54" s="1005"/>
      <c r="AP54" s="1005"/>
      <c r="AQ54" s="1005"/>
      <c r="AR54" s="1005"/>
      <c r="AS54" s="1005"/>
      <c r="AT54" s="1005"/>
      <c r="AU54" s="1005"/>
      <c r="AV54" s="1005"/>
      <c r="AW54" s="1005"/>
      <c r="AX54" s="1005"/>
      <c r="AY54" s="1005"/>
      <c r="AZ54" s="1006"/>
    </row>
    <row r="55" spans="28:52" ht="14.4" customHeight="1">
      <c r="AB55" s="1004"/>
      <c r="AC55" s="1005"/>
      <c r="AD55" s="1005"/>
      <c r="AE55" s="1005"/>
      <c r="AF55" s="1005"/>
      <c r="AG55" s="1005"/>
      <c r="AH55" s="1005"/>
      <c r="AI55" s="1005"/>
      <c r="AJ55" s="1005"/>
      <c r="AK55" s="1005"/>
      <c r="AL55" s="1005"/>
      <c r="AM55" s="1005"/>
      <c r="AN55" s="1005"/>
      <c r="AO55" s="1005"/>
      <c r="AP55" s="1005"/>
      <c r="AQ55" s="1005"/>
      <c r="AR55" s="1005"/>
      <c r="AS55" s="1005"/>
      <c r="AT55" s="1005"/>
      <c r="AU55" s="1005"/>
      <c r="AV55" s="1005"/>
      <c r="AW55" s="1005"/>
      <c r="AX55" s="1005"/>
      <c r="AY55" s="1005"/>
      <c r="AZ55" s="1006"/>
    </row>
    <row r="56" spans="28:52" ht="14.4" customHeight="1">
      <c r="AB56" s="1004"/>
      <c r="AC56" s="1005"/>
      <c r="AD56" s="1005"/>
      <c r="AE56" s="1005"/>
      <c r="AF56" s="1005"/>
      <c r="AG56" s="1005"/>
      <c r="AH56" s="1005"/>
      <c r="AI56" s="1005"/>
      <c r="AJ56" s="1005"/>
      <c r="AK56" s="1005"/>
      <c r="AL56" s="1005"/>
      <c r="AM56" s="1005"/>
      <c r="AN56" s="1005"/>
      <c r="AO56" s="1005"/>
      <c r="AP56" s="1005"/>
      <c r="AQ56" s="1005"/>
      <c r="AR56" s="1005"/>
      <c r="AS56" s="1005"/>
      <c r="AT56" s="1005"/>
      <c r="AU56" s="1005"/>
      <c r="AV56" s="1005"/>
      <c r="AW56" s="1005"/>
      <c r="AX56" s="1005"/>
      <c r="AY56" s="1005"/>
      <c r="AZ56" s="1006"/>
    </row>
    <row r="57" spans="28:52" ht="14.4" customHeight="1">
      <c r="AB57" s="1004"/>
      <c r="AC57" s="1005"/>
      <c r="AD57" s="1005"/>
      <c r="AE57" s="1005"/>
      <c r="AF57" s="1005"/>
      <c r="AG57" s="1005"/>
      <c r="AH57" s="1005"/>
      <c r="AI57" s="1005"/>
      <c r="AJ57" s="1005"/>
      <c r="AK57" s="1005"/>
      <c r="AL57" s="1005"/>
      <c r="AM57" s="1005"/>
      <c r="AN57" s="1005"/>
      <c r="AO57" s="1005"/>
      <c r="AP57" s="1005"/>
      <c r="AQ57" s="1005"/>
      <c r="AR57" s="1005"/>
      <c r="AS57" s="1005"/>
      <c r="AT57" s="1005"/>
      <c r="AU57" s="1005"/>
      <c r="AV57" s="1005"/>
      <c r="AW57" s="1005"/>
      <c r="AX57" s="1005"/>
      <c r="AY57" s="1005"/>
      <c r="AZ57" s="1006"/>
    </row>
    <row r="58" spans="28:52" ht="14.4" customHeight="1">
      <c r="AB58" s="1004"/>
      <c r="AC58" s="1005"/>
      <c r="AD58" s="1005"/>
      <c r="AE58" s="1005"/>
      <c r="AF58" s="1005"/>
      <c r="AG58" s="1005"/>
      <c r="AH58" s="1005"/>
      <c r="AI58" s="1005"/>
      <c r="AJ58" s="1005"/>
      <c r="AK58" s="1005"/>
      <c r="AL58" s="1005"/>
      <c r="AM58" s="1005"/>
      <c r="AN58" s="1005"/>
      <c r="AO58" s="1005"/>
      <c r="AP58" s="1005"/>
      <c r="AQ58" s="1005"/>
      <c r="AR58" s="1005"/>
      <c r="AS58" s="1005"/>
      <c r="AT58" s="1005"/>
      <c r="AU58" s="1005"/>
      <c r="AV58" s="1005"/>
      <c r="AW58" s="1005"/>
      <c r="AX58" s="1005"/>
      <c r="AY58" s="1005"/>
      <c r="AZ58" s="1006"/>
    </row>
    <row r="59" spans="28:52" ht="14.4" customHeight="1">
      <c r="AB59" s="1004"/>
      <c r="AC59" s="1005"/>
      <c r="AD59" s="1005"/>
      <c r="AE59" s="1005"/>
      <c r="AF59" s="1005"/>
      <c r="AG59" s="1005"/>
      <c r="AH59" s="1005"/>
      <c r="AI59" s="1005"/>
      <c r="AJ59" s="1005"/>
      <c r="AK59" s="1005"/>
      <c r="AL59" s="1005"/>
      <c r="AM59" s="1005"/>
      <c r="AN59" s="1005"/>
      <c r="AO59" s="1005"/>
      <c r="AP59" s="1005"/>
      <c r="AQ59" s="1005"/>
      <c r="AR59" s="1005"/>
      <c r="AS59" s="1005"/>
      <c r="AT59" s="1005"/>
      <c r="AU59" s="1005"/>
      <c r="AV59" s="1005"/>
      <c r="AW59" s="1005"/>
      <c r="AX59" s="1005"/>
      <c r="AY59" s="1005"/>
      <c r="AZ59" s="1006"/>
    </row>
    <row r="60" spans="28:52" ht="14.4" customHeight="1">
      <c r="AB60" s="1004"/>
      <c r="AC60" s="1005"/>
      <c r="AD60" s="1005"/>
      <c r="AE60" s="1005"/>
      <c r="AF60" s="1005"/>
      <c r="AG60" s="1005"/>
      <c r="AH60" s="1005"/>
      <c r="AI60" s="1005"/>
      <c r="AJ60" s="1005"/>
      <c r="AK60" s="1005"/>
      <c r="AL60" s="1005"/>
      <c r="AM60" s="1005"/>
      <c r="AN60" s="1005"/>
      <c r="AO60" s="1005"/>
      <c r="AP60" s="1005"/>
      <c r="AQ60" s="1005"/>
      <c r="AR60" s="1005"/>
      <c r="AS60" s="1005"/>
      <c r="AT60" s="1005"/>
      <c r="AU60" s="1005"/>
      <c r="AV60" s="1005"/>
      <c r="AW60" s="1005"/>
      <c r="AX60" s="1005"/>
      <c r="AY60" s="1005"/>
      <c r="AZ60" s="1006"/>
    </row>
    <row r="61" spans="28:52" ht="14.4" customHeight="1">
      <c r="AB61" s="1004"/>
      <c r="AC61" s="1005"/>
      <c r="AD61" s="1005"/>
      <c r="AE61" s="1005"/>
      <c r="AF61" s="1005"/>
      <c r="AG61" s="1005"/>
      <c r="AH61" s="1005"/>
      <c r="AI61" s="1005"/>
      <c r="AJ61" s="1005"/>
      <c r="AK61" s="1005"/>
      <c r="AL61" s="1005"/>
      <c r="AM61" s="1005"/>
      <c r="AN61" s="1005"/>
      <c r="AO61" s="1005"/>
      <c r="AP61" s="1005"/>
      <c r="AQ61" s="1005"/>
      <c r="AR61" s="1005"/>
      <c r="AS61" s="1005"/>
      <c r="AT61" s="1005"/>
      <c r="AU61" s="1005"/>
      <c r="AV61" s="1005"/>
      <c r="AW61" s="1005"/>
      <c r="AX61" s="1005"/>
      <c r="AY61" s="1005"/>
      <c r="AZ61" s="1006"/>
    </row>
    <row r="62" spans="28:52" ht="14.4" customHeight="1">
      <c r="AB62" s="1004"/>
      <c r="AC62" s="1005"/>
      <c r="AD62" s="1005"/>
      <c r="AE62" s="1005"/>
      <c r="AF62" s="1005"/>
      <c r="AG62" s="1005"/>
      <c r="AH62" s="1005"/>
      <c r="AI62" s="1005"/>
      <c r="AJ62" s="1005"/>
      <c r="AK62" s="1005"/>
      <c r="AL62" s="1005"/>
      <c r="AM62" s="1005"/>
      <c r="AN62" s="1005"/>
      <c r="AO62" s="1005"/>
      <c r="AP62" s="1005"/>
      <c r="AQ62" s="1005"/>
      <c r="AR62" s="1005"/>
      <c r="AS62" s="1005"/>
      <c r="AT62" s="1005"/>
      <c r="AU62" s="1005"/>
      <c r="AV62" s="1005"/>
      <c r="AW62" s="1005"/>
      <c r="AX62" s="1005"/>
      <c r="AY62" s="1005"/>
      <c r="AZ62" s="1006"/>
    </row>
    <row r="63" spans="28:52" ht="14.4" customHeight="1">
      <c r="AB63" s="1004"/>
      <c r="AC63" s="1005"/>
      <c r="AD63" s="1005"/>
      <c r="AE63" s="1005"/>
      <c r="AF63" s="1005"/>
      <c r="AG63" s="1005"/>
      <c r="AH63" s="1005"/>
      <c r="AI63" s="1005"/>
      <c r="AJ63" s="1005"/>
      <c r="AK63" s="1005"/>
      <c r="AL63" s="1005"/>
      <c r="AM63" s="1005"/>
      <c r="AN63" s="1005"/>
      <c r="AO63" s="1005"/>
      <c r="AP63" s="1005"/>
      <c r="AQ63" s="1005"/>
      <c r="AR63" s="1005"/>
      <c r="AS63" s="1005"/>
      <c r="AT63" s="1005"/>
      <c r="AU63" s="1005"/>
      <c r="AV63" s="1005"/>
      <c r="AW63" s="1005"/>
      <c r="AX63" s="1005"/>
      <c r="AY63" s="1005"/>
      <c r="AZ63" s="1006"/>
    </row>
  </sheetData>
  <sheetProtection algorithmName="SHA-512" hashValue="Qj8v26HymLaw+f5PiMkcTqSYP7JL/KKIKQ7dAZ34iMeLz/GMkQwNBupW4SMmmQ2vE3MWHwgkiRql2FdLFIXQBw==" saltValue="w1GVmSy0aLOXwiU+wabsRA==" spinCount="100000" sheet="1" objects="1" scenarios="1"/>
  <mergeCells count="10">
    <mergeCell ref="AB1:AZ2"/>
    <mergeCell ref="B12:M13"/>
    <mergeCell ref="B1:Z2"/>
    <mergeCell ref="B20:M21"/>
    <mergeCell ref="B22:M23"/>
    <mergeCell ref="B3:Z10"/>
    <mergeCell ref="AB3:AZ63"/>
    <mergeCell ref="B16:M17"/>
    <mergeCell ref="B14:M15"/>
    <mergeCell ref="B18:M19"/>
  </mergeCells>
  <phoneticPr fontId="4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41</vt:i4>
      </vt:variant>
    </vt:vector>
  </HeadingPairs>
  <TitlesOfParts>
    <vt:vector size="58" baseType="lpstr">
      <vt:lpstr>背景</vt:lpstr>
      <vt:lpstr>主要</vt:lpstr>
      <vt:lpstr>数据表</vt:lpstr>
      <vt:lpstr>职业</vt:lpstr>
      <vt:lpstr>装备</vt:lpstr>
      <vt:lpstr>种族</vt:lpstr>
      <vt:lpstr>背景数据</vt:lpstr>
      <vt:lpstr>魔宠</vt:lpstr>
      <vt:lpstr>背包</vt:lpstr>
      <vt:lpstr>盟友与魔宠</vt:lpstr>
      <vt:lpstr>据点</vt:lpstr>
      <vt:lpstr>法术书</vt:lpstr>
      <vt:lpstr>法术大全</vt:lpstr>
      <vt:lpstr>额外法术</vt:lpstr>
      <vt:lpstr>圆形效应范围</vt:lpstr>
      <vt:lpstr>导入</vt:lpstr>
      <vt:lpstr>更新</vt:lpstr>
      <vt:lpstr>主要!Print_Area</vt:lpstr>
      <vt:lpstr>匕首</vt:lpstr>
      <vt:lpstr>鞭</vt:lpstr>
      <vt:lpstr>标枪</vt:lpstr>
      <vt:lpstr>捕网</vt:lpstr>
      <vt:lpstr>吹箭筒</vt:lpstr>
      <vt:lpstr>刺剑</vt:lpstr>
      <vt:lpstr>钉头锤</vt:lpstr>
      <vt:lpstr>短棒</vt:lpstr>
      <vt:lpstr>短弓</vt:lpstr>
      <vt:lpstr>短剑</vt:lpstr>
      <vt:lpstr>飞镖</vt:lpstr>
      <vt:lpstr>戟</vt:lpstr>
      <vt:lpstr>巨棒</vt:lpstr>
      <vt:lpstr>巨锤</vt:lpstr>
      <vt:lpstr>巨斧</vt:lpstr>
      <vt:lpstr>巨剑</vt:lpstr>
      <vt:lpstr>镰刀</vt:lpstr>
      <vt:lpstr>链枷</vt:lpstr>
      <vt:lpstr>矛</vt:lpstr>
      <vt:lpstr>骑枪</vt:lpstr>
      <vt:lpstr>轻锤</vt:lpstr>
      <vt:lpstr>轻弩</vt:lpstr>
      <vt:lpstr>轻型</vt:lpstr>
      <vt:lpstr>三叉戟</vt:lpstr>
      <vt:lpstr>手斧</vt:lpstr>
      <vt:lpstr>手弩</vt:lpstr>
      <vt:lpstr>投石索</vt:lpstr>
      <vt:lpstr>弯刀</vt:lpstr>
      <vt:lpstr>硬头锤</vt:lpstr>
      <vt:lpstr>战锤</vt:lpstr>
      <vt:lpstr>战斧</vt:lpstr>
      <vt:lpstr>战镐</vt:lpstr>
      <vt:lpstr>长柄刀</vt:lpstr>
      <vt:lpstr>长弓</vt:lpstr>
      <vt:lpstr>长棍</vt:lpstr>
      <vt:lpstr>长剑</vt:lpstr>
      <vt:lpstr>长矛</vt:lpstr>
      <vt:lpstr>中型</vt:lpstr>
      <vt:lpstr>重弩</vt:lpstr>
      <vt:lpstr>重型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悲灵</dc:creator>
  <cp:lastModifiedBy>Angelette Ludwig</cp:lastModifiedBy>
  <dcterms:created xsi:type="dcterms:W3CDTF">2018-02-27T11:14:00Z</dcterms:created>
  <dcterms:modified xsi:type="dcterms:W3CDTF">2026-05-26T10:27:12Z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y fmtid="{D5CDD505-2E9C-101B-9397-08002B2CF9AE}" pid="3" name="KSOReadingLayout">
    <vt:bool>true</vt:bool>
  </property>
</Properties>
</file>